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FRAIN~1.CHA\AppData\Local\Temp\Rar$DIa21376.38175\"/>
    </mc:Choice>
  </mc:AlternateContent>
  <bookViews>
    <workbookView xWindow="0" yWindow="0" windowWidth="19200" windowHeight="7050" tabRatio="881"/>
  </bookViews>
  <sheets>
    <sheet name="1.- Matriz de inversión" sheetId="1" r:id="rId1"/>
    <sheet name="2.- Resumen por Línea " sheetId="7" r:id="rId2"/>
    <sheet name="3.- Cronog.Valorado y Desemb" sheetId="2" r:id="rId3"/>
    <sheet name="4.-Proyección de ingresos-costo" sheetId="3" r:id="rId4"/>
    <sheet name="5.- Matriz Análisis Financiero" sheetId="5" r:id="rId5"/>
    <sheet name="6.- Presupuesto Obra" sheetId="11" r:id="rId6"/>
    <sheet name="7. Cronograma de Obra" sheetId="12" r:id="rId7"/>
    <sheet name="8. APU" sheetId="13" r:id="rId8"/>
  </sheets>
  <externalReferences>
    <externalReference r:id="rId9"/>
  </externalReferences>
  <definedNames>
    <definedName name="_xlnm.Print_Area" localSheetId="0">'1.- Matriz de inversión'!$A$1:$L$286</definedName>
    <definedName name="_xlnm.Print_Area" localSheetId="1">'2.- Resumen por Línea '!$A$1:$F$10</definedName>
    <definedName name="_xlnm.Print_Area" localSheetId="2">'3.- Cronog.Valorado y Desemb'!$A$1:$O$37</definedName>
    <definedName name="_xlnm.Print_Area" localSheetId="5">'6.- Presupuesto Obra'!$B$3:$G$152</definedName>
    <definedName name="_xlnm.Print_Area" localSheetId="6">'7. Cronograma de Obra'!$A$2:$Z$38</definedName>
    <definedName name="_xlnm.Print_Area" localSheetId="7">'8. APU'!$A$1:$H$54</definedName>
    <definedName name="RANGOS" localSheetId="6">'[1]29. CPC'!#REF!</definedName>
    <definedName name="RANGOS" localSheetId="7">'[1]29. CPC'!#REF!</definedName>
    <definedName name="RANGOS">'[1]29. CPC'!#REF!</definedName>
    <definedName name="_xlnm.Print_Titles" localSheetId="7">'8. APU'!#REF!</definedName>
  </definedNames>
  <calcPr calcId="162913"/>
</workbook>
</file>

<file path=xl/calcChain.xml><?xml version="1.0" encoding="utf-8"?>
<calcChain xmlns="http://schemas.openxmlformats.org/spreadsheetml/2006/main">
  <c r="B116" i="11" l="1"/>
  <c r="B117" i="11" s="1"/>
  <c r="B118" i="11" s="1"/>
  <c r="B119" i="11" s="1"/>
  <c r="B120" i="11" s="1"/>
  <c r="B121" i="11" s="1"/>
  <c r="B122" i="11" s="1"/>
  <c r="B123" i="11" s="1"/>
  <c r="B124" i="11" s="1"/>
  <c r="B125" i="11" s="1"/>
  <c r="B126" i="11" s="1"/>
  <c r="B115" i="11"/>
  <c r="B106" i="11"/>
  <c r="B107" i="11" s="1"/>
  <c r="B108" i="11" s="1"/>
  <c r="B109" i="11" s="1"/>
  <c r="B110" i="11" s="1"/>
  <c r="B111" i="11" s="1"/>
  <c r="B112" i="11" s="1"/>
  <c r="B105" i="11"/>
  <c r="B94" i="11"/>
  <c r="B95" i="11" s="1"/>
  <c r="B96" i="11" s="1"/>
  <c r="B97" i="11" s="1"/>
  <c r="B98" i="11" s="1"/>
  <c r="B99" i="11" s="1"/>
  <c r="B100" i="11" s="1"/>
  <c r="B101" i="11" s="1"/>
  <c r="B102" i="11" s="1"/>
  <c r="B93" i="11"/>
  <c r="B86" i="11"/>
  <c r="B87" i="11" s="1"/>
  <c r="B88" i="11" s="1"/>
  <c r="B89" i="11" s="1"/>
  <c r="B90" i="11" s="1"/>
  <c r="B85" i="11"/>
  <c r="B81" i="11"/>
  <c r="B82" i="11"/>
  <c r="B80" i="11"/>
  <c r="B62" i="11"/>
  <c r="B63" i="11" s="1"/>
  <c r="B64" i="11" s="1"/>
  <c r="B65" i="11" s="1"/>
  <c r="B66" i="11" s="1"/>
  <c r="B67" i="11" s="1"/>
  <c r="B68" i="11" s="1"/>
  <c r="B69" i="11" s="1"/>
  <c r="B70" i="11" s="1"/>
  <c r="B71" i="11" s="1"/>
  <c r="B72" i="11" s="1"/>
  <c r="B73" i="11" s="1"/>
  <c r="B74" i="11" s="1"/>
  <c r="B75" i="11" s="1"/>
  <c r="B76" i="11" s="1"/>
  <c r="B77" i="11" s="1"/>
  <c r="B61" i="11"/>
  <c r="E221" i="1" l="1"/>
  <c r="G221" i="1" s="1"/>
  <c r="H221" i="1" s="1"/>
  <c r="K221" i="1" s="1"/>
  <c r="L221" i="1" s="1"/>
  <c r="E222" i="1"/>
  <c r="G222" i="1" s="1"/>
  <c r="H222" i="1" s="1"/>
  <c r="K222" i="1" s="1"/>
  <c r="L222" i="1" s="1"/>
  <c r="A3" i="13" l="1"/>
  <c r="A4" i="12" l="1"/>
  <c r="B7" i="11"/>
  <c r="G17" i="13"/>
  <c r="G19" i="13" s="1"/>
  <c r="G12" i="13" s="1"/>
  <c r="G13" i="13" s="1"/>
  <c r="G18" i="13"/>
  <c r="G23" i="13"/>
  <c r="G24" i="13"/>
  <c r="G28" i="13"/>
  <c r="G29" i="13"/>
  <c r="G30" i="13"/>
  <c r="F17" i="12"/>
  <c r="G17" i="12"/>
  <c r="G19" i="12" s="1"/>
  <c r="K19" i="12" s="1"/>
  <c r="O19" i="12" s="1"/>
  <c r="S19" i="12" s="1"/>
  <c r="W19" i="12" s="1"/>
  <c r="K17" i="12"/>
  <c r="O17" i="12"/>
  <c r="S17" i="12"/>
  <c r="W17" i="12"/>
  <c r="G20" i="12"/>
  <c r="K20" i="12"/>
  <c r="O20" i="12"/>
  <c r="S20" i="12"/>
  <c r="F21" i="12"/>
  <c r="G33" i="13" l="1"/>
  <c r="G34" i="13" s="1"/>
  <c r="G32" i="13"/>
  <c r="G35" i="13" l="1"/>
  <c r="G36" i="13" s="1"/>
  <c r="G37" i="13" s="1"/>
  <c r="H17" i="2" l="1"/>
  <c r="F17" i="2"/>
  <c r="D17" i="2"/>
  <c r="E21" i="3"/>
  <c r="F22" i="2" l="1"/>
  <c r="A27" i="1"/>
  <c r="B27" i="1"/>
  <c r="C27" i="1"/>
  <c r="D27" i="1"/>
  <c r="A28" i="1"/>
  <c r="B28" i="1"/>
  <c r="C28" i="1"/>
  <c r="D28" i="1"/>
  <c r="A29" i="1"/>
  <c r="B29" i="1"/>
  <c r="C29" i="1"/>
  <c r="D29" i="1"/>
  <c r="B30" i="1"/>
  <c r="C30" i="1"/>
  <c r="D30" i="1"/>
  <c r="A31" i="1"/>
  <c r="B31" i="1"/>
  <c r="C31" i="1"/>
  <c r="D31" i="1"/>
  <c r="A32" i="1"/>
  <c r="B32" i="1"/>
  <c r="C32" i="1"/>
  <c r="D32" i="1"/>
  <c r="A33" i="1"/>
  <c r="B33" i="1"/>
  <c r="C33" i="1"/>
  <c r="D33" i="1"/>
  <c r="A34" i="1"/>
  <c r="B34" i="1"/>
  <c r="C34" i="1"/>
  <c r="D34" i="1"/>
  <c r="A35" i="1"/>
  <c r="B35" i="1"/>
  <c r="C35" i="1"/>
  <c r="D35" i="1"/>
  <c r="A36" i="1"/>
  <c r="B36" i="1"/>
  <c r="C36" i="1"/>
  <c r="D36" i="1"/>
  <c r="A37" i="1"/>
  <c r="B37" i="1"/>
  <c r="C37" i="1"/>
  <c r="D37" i="1"/>
  <c r="A38" i="1"/>
  <c r="B38" i="1"/>
  <c r="C38" i="1"/>
  <c r="D38" i="1"/>
  <c r="A39" i="1"/>
  <c r="B39" i="1"/>
  <c r="C39" i="1"/>
  <c r="D39" i="1"/>
  <c r="A40" i="1"/>
  <c r="B40" i="1"/>
  <c r="C40" i="1"/>
  <c r="D40" i="1"/>
  <c r="A41" i="1"/>
  <c r="B41" i="1"/>
  <c r="C41" i="1"/>
  <c r="D41" i="1"/>
  <c r="A42" i="1"/>
  <c r="B42" i="1"/>
  <c r="C42" i="1"/>
  <c r="D42" i="1"/>
  <c r="A43" i="1"/>
  <c r="B43" i="1"/>
  <c r="C43" i="1"/>
  <c r="D43" i="1"/>
  <c r="A44" i="1"/>
  <c r="B44" i="1"/>
  <c r="C44" i="1"/>
  <c r="D44" i="1"/>
  <c r="A45" i="1"/>
  <c r="B45" i="1"/>
  <c r="C45" i="1"/>
  <c r="D45" i="1"/>
  <c r="A46" i="1"/>
  <c r="B46" i="1"/>
  <c r="C46" i="1"/>
  <c r="D46" i="1"/>
  <c r="A47" i="1"/>
  <c r="B47" i="1"/>
  <c r="C47" i="1"/>
  <c r="D47" i="1"/>
  <c r="A48" i="1"/>
  <c r="B48" i="1"/>
  <c r="C48" i="1"/>
  <c r="D48" i="1"/>
  <c r="A49" i="1"/>
  <c r="B49" i="1"/>
  <c r="C49" i="1"/>
  <c r="D49" i="1"/>
  <c r="A50" i="1"/>
  <c r="B50" i="1"/>
  <c r="C50" i="1"/>
  <c r="D50" i="1"/>
  <c r="A51" i="1"/>
  <c r="B51" i="1"/>
  <c r="C51" i="1"/>
  <c r="D51" i="1"/>
  <c r="A52" i="1"/>
  <c r="B52" i="1"/>
  <c r="C52" i="1"/>
  <c r="D52" i="1"/>
  <c r="A53" i="1"/>
  <c r="B53" i="1"/>
  <c r="C53" i="1"/>
  <c r="D53" i="1"/>
  <c r="A54" i="1"/>
  <c r="B54" i="1"/>
  <c r="C54" i="1"/>
  <c r="D54" i="1"/>
  <c r="A55" i="1"/>
  <c r="B55" i="1"/>
  <c r="C55" i="1"/>
  <c r="D55" i="1"/>
  <c r="A56" i="1"/>
  <c r="B56" i="1"/>
  <c r="C56" i="1"/>
  <c r="D56" i="1"/>
  <c r="A57" i="1"/>
  <c r="B57" i="1"/>
  <c r="C57" i="1"/>
  <c r="D57" i="1"/>
  <c r="A58" i="1"/>
  <c r="B58" i="1"/>
  <c r="C58" i="1"/>
  <c r="D58" i="1"/>
  <c r="A59" i="1"/>
  <c r="B59" i="1"/>
  <c r="C59" i="1"/>
  <c r="D59" i="1"/>
  <c r="A60" i="1"/>
  <c r="B60" i="1"/>
  <c r="C60" i="1"/>
  <c r="D60" i="1"/>
  <c r="A61" i="1"/>
  <c r="B61" i="1"/>
  <c r="C61" i="1"/>
  <c r="D61" i="1"/>
  <c r="A62" i="1"/>
  <c r="B62" i="1"/>
  <c r="C62" i="1"/>
  <c r="D62" i="1"/>
  <c r="A63" i="1"/>
  <c r="B63" i="1"/>
  <c r="C63" i="1"/>
  <c r="D63" i="1"/>
  <c r="A64" i="1"/>
  <c r="B64" i="1"/>
  <c r="C64" i="1"/>
  <c r="D64" i="1"/>
  <c r="A65" i="1"/>
  <c r="B65" i="1"/>
  <c r="C65" i="1"/>
  <c r="D65" i="1"/>
  <c r="A66" i="1"/>
  <c r="B66" i="1"/>
  <c r="C66" i="1"/>
  <c r="D66" i="1"/>
  <c r="A67" i="1"/>
  <c r="B67" i="1"/>
  <c r="C67" i="1"/>
  <c r="D67" i="1"/>
  <c r="A68" i="1"/>
  <c r="B68" i="1"/>
  <c r="C68" i="1"/>
  <c r="D68" i="1"/>
  <c r="A69" i="1"/>
  <c r="B69" i="1"/>
  <c r="C69" i="1"/>
  <c r="D69" i="1"/>
  <c r="A70" i="1"/>
  <c r="B70" i="1"/>
  <c r="C70" i="1"/>
  <c r="D70" i="1"/>
  <c r="A71" i="1"/>
  <c r="B71" i="1"/>
  <c r="C71" i="1"/>
  <c r="D71" i="1"/>
  <c r="A72" i="1"/>
  <c r="B72" i="1"/>
  <c r="C72" i="1"/>
  <c r="D72" i="1"/>
  <c r="A73" i="1"/>
  <c r="B73" i="1"/>
  <c r="C73" i="1"/>
  <c r="D73" i="1"/>
  <c r="A74" i="1"/>
  <c r="B74" i="1"/>
  <c r="C74" i="1"/>
  <c r="D74" i="1"/>
  <c r="A75" i="1"/>
  <c r="B75" i="1"/>
  <c r="C75" i="1"/>
  <c r="D75" i="1"/>
  <c r="A76" i="1"/>
  <c r="B76" i="1"/>
  <c r="C76" i="1"/>
  <c r="D76" i="1"/>
  <c r="A77" i="1"/>
  <c r="B77" i="1"/>
  <c r="C77" i="1"/>
  <c r="D77" i="1"/>
  <c r="A78" i="1"/>
  <c r="B78" i="1"/>
  <c r="C78" i="1"/>
  <c r="D78" i="1"/>
  <c r="A79" i="1"/>
  <c r="B79" i="1"/>
  <c r="C79" i="1"/>
  <c r="D79" i="1"/>
  <c r="A80" i="1"/>
  <c r="B80" i="1"/>
  <c r="C80" i="1"/>
  <c r="D80" i="1"/>
  <c r="A81" i="1"/>
  <c r="B81" i="1"/>
  <c r="C81" i="1"/>
  <c r="D81" i="1"/>
  <c r="A82" i="1"/>
  <c r="B82" i="1"/>
  <c r="C82" i="1"/>
  <c r="D82" i="1"/>
  <c r="A83" i="1"/>
  <c r="B83" i="1"/>
  <c r="C83" i="1"/>
  <c r="D83" i="1"/>
  <c r="A84" i="1"/>
  <c r="B84" i="1"/>
  <c r="C84" i="1"/>
  <c r="D84" i="1"/>
  <c r="A85" i="1"/>
  <c r="B85" i="1"/>
  <c r="C85" i="1"/>
  <c r="D85" i="1"/>
  <c r="A86" i="1"/>
  <c r="B86" i="1"/>
  <c r="C86" i="1"/>
  <c r="D86" i="1"/>
  <c r="A87" i="1"/>
  <c r="B87" i="1"/>
  <c r="C87" i="1"/>
  <c r="D87" i="1"/>
  <c r="A88" i="1"/>
  <c r="B88" i="1"/>
  <c r="C88" i="1"/>
  <c r="D88" i="1"/>
  <c r="A89" i="1"/>
  <c r="B89" i="1"/>
  <c r="C89" i="1"/>
  <c r="D89" i="1"/>
  <c r="A90" i="1"/>
  <c r="B90" i="1"/>
  <c r="C90" i="1"/>
  <c r="D90" i="1"/>
  <c r="A91" i="1"/>
  <c r="B91" i="1"/>
  <c r="C91" i="1"/>
  <c r="D91" i="1"/>
  <c r="A92" i="1"/>
  <c r="B92" i="1"/>
  <c r="C92" i="1"/>
  <c r="D92" i="1"/>
  <c r="A93" i="1"/>
  <c r="B93" i="1"/>
  <c r="C93" i="1"/>
  <c r="D93" i="1"/>
  <c r="A94" i="1"/>
  <c r="B94" i="1"/>
  <c r="C94" i="1"/>
  <c r="D94" i="1"/>
  <c r="A95" i="1"/>
  <c r="B95" i="1"/>
  <c r="C95" i="1"/>
  <c r="D95" i="1"/>
  <c r="A96" i="1"/>
  <c r="B96" i="1"/>
  <c r="C96" i="1"/>
  <c r="D96" i="1"/>
  <c r="A97" i="1"/>
  <c r="B97" i="1"/>
  <c r="C97" i="1"/>
  <c r="D97" i="1"/>
  <c r="A98" i="1"/>
  <c r="B98" i="1"/>
  <c r="C98" i="1"/>
  <c r="D98" i="1"/>
  <c r="A99" i="1"/>
  <c r="B99" i="1"/>
  <c r="C99" i="1"/>
  <c r="D99" i="1"/>
  <c r="A100" i="1"/>
  <c r="B100" i="1"/>
  <c r="C100" i="1"/>
  <c r="D100" i="1"/>
  <c r="A101" i="1"/>
  <c r="B101" i="1"/>
  <c r="C101" i="1"/>
  <c r="D101" i="1"/>
  <c r="A102" i="1"/>
  <c r="B102" i="1"/>
  <c r="C102" i="1"/>
  <c r="D102" i="1"/>
  <c r="A103" i="1"/>
  <c r="B103" i="1"/>
  <c r="C103" i="1"/>
  <c r="D103" i="1"/>
  <c r="A104" i="1"/>
  <c r="B104" i="1"/>
  <c r="C104" i="1"/>
  <c r="D104" i="1"/>
  <c r="A105" i="1"/>
  <c r="B105" i="1"/>
  <c r="C105" i="1"/>
  <c r="D105" i="1"/>
  <c r="A106" i="1"/>
  <c r="B106" i="1"/>
  <c r="C106" i="1"/>
  <c r="D106" i="1"/>
  <c r="A107" i="1"/>
  <c r="B107" i="1"/>
  <c r="C107" i="1"/>
  <c r="D107" i="1"/>
  <c r="A108" i="1"/>
  <c r="B108" i="1"/>
  <c r="C108" i="1"/>
  <c r="D108" i="1"/>
  <c r="A109" i="1"/>
  <c r="B109" i="1"/>
  <c r="C109" i="1"/>
  <c r="D109" i="1"/>
  <c r="A110" i="1"/>
  <c r="B110" i="1"/>
  <c r="C110" i="1"/>
  <c r="D110" i="1"/>
  <c r="A111" i="1"/>
  <c r="B111" i="1"/>
  <c r="C111" i="1"/>
  <c r="D111" i="1"/>
  <c r="A112" i="1"/>
  <c r="B112" i="1"/>
  <c r="C112" i="1"/>
  <c r="D112" i="1"/>
  <c r="A113" i="1"/>
  <c r="B113" i="1"/>
  <c r="C113" i="1"/>
  <c r="D113" i="1"/>
  <c r="A114" i="1"/>
  <c r="B114" i="1"/>
  <c r="C114" i="1"/>
  <c r="D114" i="1"/>
  <c r="A115" i="1"/>
  <c r="B115" i="1"/>
  <c r="C115" i="1"/>
  <c r="D115" i="1"/>
  <c r="A116" i="1"/>
  <c r="B116" i="1"/>
  <c r="C116" i="1"/>
  <c r="D116" i="1"/>
  <c r="A117" i="1"/>
  <c r="B117" i="1"/>
  <c r="C117" i="1"/>
  <c r="D117" i="1"/>
  <c r="A118" i="1"/>
  <c r="B118" i="1"/>
  <c r="C118" i="1"/>
  <c r="D118" i="1"/>
  <c r="A119" i="1"/>
  <c r="B119" i="1"/>
  <c r="C119" i="1"/>
  <c r="D119" i="1"/>
  <c r="A120" i="1"/>
  <c r="B120" i="1"/>
  <c r="C120" i="1"/>
  <c r="D120" i="1"/>
  <c r="A121" i="1"/>
  <c r="B121" i="1"/>
  <c r="C121" i="1"/>
  <c r="D121" i="1"/>
  <c r="A122" i="1"/>
  <c r="B122" i="1"/>
  <c r="C122" i="1"/>
  <c r="D122" i="1"/>
  <c r="A123" i="1"/>
  <c r="B123" i="1"/>
  <c r="C123" i="1"/>
  <c r="D123" i="1"/>
  <c r="A124" i="1"/>
  <c r="B124" i="1"/>
  <c r="C124" i="1"/>
  <c r="D124" i="1"/>
  <c r="A125" i="1"/>
  <c r="B125" i="1"/>
  <c r="C125" i="1"/>
  <c r="D125" i="1"/>
  <c r="A126" i="1"/>
  <c r="B126" i="1"/>
  <c r="C126" i="1"/>
  <c r="D126" i="1"/>
  <c r="A127" i="1"/>
  <c r="B127" i="1"/>
  <c r="C127" i="1"/>
  <c r="D127" i="1"/>
  <c r="A128" i="1"/>
  <c r="B128" i="1"/>
  <c r="C128" i="1"/>
  <c r="D128" i="1"/>
  <c r="A129" i="1"/>
  <c r="B129" i="1"/>
  <c r="C129" i="1"/>
  <c r="D129" i="1"/>
  <c r="A130" i="1"/>
  <c r="B130" i="1"/>
  <c r="C130" i="1"/>
  <c r="D130" i="1"/>
  <c r="A131" i="1"/>
  <c r="B131" i="1"/>
  <c r="C131" i="1"/>
  <c r="D131" i="1"/>
  <c r="A132" i="1"/>
  <c r="B132" i="1"/>
  <c r="C132" i="1"/>
  <c r="D132" i="1"/>
  <c r="A133" i="1"/>
  <c r="B133" i="1"/>
  <c r="C133" i="1"/>
  <c r="D133" i="1"/>
  <c r="A134" i="1"/>
  <c r="B134" i="1"/>
  <c r="C134" i="1"/>
  <c r="D134" i="1"/>
  <c r="A135" i="1"/>
  <c r="B135" i="1"/>
  <c r="C135" i="1"/>
  <c r="D135" i="1"/>
  <c r="A136" i="1"/>
  <c r="B136" i="1"/>
  <c r="C136" i="1"/>
  <c r="D136" i="1"/>
  <c r="A137" i="1"/>
  <c r="B137" i="1"/>
  <c r="C137" i="1"/>
  <c r="D137" i="1"/>
  <c r="A138" i="1"/>
  <c r="B138" i="1"/>
  <c r="C138" i="1"/>
  <c r="D138" i="1"/>
  <c r="A139" i="1"/>
  <c r="B139" i="1"/>
  <c r="C139" i="1"/>
  <c r="D139" i="1"/>
  <c r="A140" i="1"/>
  <c r="B140" i="1"/>
  <c r="C140" i="1"/>
  <c r="D140" i="1"/>
  <c r="G14" i="11"/>
  <c r="G15" i="11"/>
  <c r="G16" i="11"/>
  <c r="G17" i="11"/>
  <c r="G18" i="11"/>
  <c r="G19" i="11"/>
  <c r="G20" i="11"/>
  <c r="G21" i="11"/>
  <c r="G22" i="11"/>
  <c r="I152" i="1"/>
  <c r="J152" i="1"/>
  <c r="J23" i="1"/>
  <c r="I23" i="1"/>
  <c r="E234" i="1"/>
  <c r="E233" i="1"/>
  <c r="E229" i="1"/>
  <c r="E230" i="1"/>
  <c r="E155" i="1"/>
  <c r="E156" i="1"/>
  <c r="G156" i="1" s="1"/>
  <c r="H156" i="1" s="1"/>
  <c r="K156" i="1" s="1"/>
  <c r="L156" i="1" s="1"/>
  <c r="E157" i="1"/>
  <c r="G157" i="1" s="1"/>
  <c r="H157" i="1" s="1"/>
  <c r="K157" i="1" s="1"/>
  <c r="L157" i="1" s="1"/>
  <c r="E158" i="1"/>
  <c r="G158" i="1" s="1"/>
  <c r="H158" i="1" s="1"/>
  <c r="K158" i="1" s="1"/>
  <c r="L158" i="1" s="1"/>
  <c r="E159" i="1"/>
  <c r="G159" i="1" s="1"/>
  <c r="H159" i="1" s="1"/>
  <c r="K159" i="1" s="1"/>
  <c r="L159" i="1" s="1"/>
  <c r="E160" i="1"/>
  <c r="G160" i="1" s="1"/>
  <c r="H160" i="1" s="1"/>
  <c r="K160" i="1" s="1"/>
  <c r="L160" i="1" s="1"/>
  <c r="E161" i="1"/>
  <c r="G161" i="1" s="1"/>
  <c r="H161" i="1" s="1"/>
  <c r="K161" i="1" s="1"/>
  <c r="L161" i="1" s="1"/>
  <c r="E162" i="1"/>
  <c r="G162" i="1" s="1"/>
  <c r="H162" i="1" s="1"/>
  <c r="K162" i="1" s="1"/>
  <c r="L162" i="1" s="1"/>
  <c r="E163" i="1"/>
  <c r="G163" i="1" s="1"/>
  <c r="H163" i="1" s="1"/>
  <c r="K163" i="1" s="1"/>
  <c r="L163" i="1" s="1"/>
  <c r="E164" i="1"/>
  <c r="G164" i="1" s="1"/>
  <c r="H164" i="1" s="1"/>
  <c r="K164" i="1" s="1"/>
  <c r="L164" i="1" s="1"/>
  <c r="E165" i="1"/>
  <c r="G165" i="1" s="1"/>
  <c r="H165" i="1" s="1"/>
  <c r="K165" i="1" s="1"/>
  <c r="L165" i="1" s="1"/>
  <c r="E166" i="1"/>
  <c r="G166" i="1" s="1"/>
  <c r="H166" i="1" s="1"/>
  <c r="K166" i="1" s="1"/>
  <c r="L166" i="1" s="1"/>
  <c r="E167" i="1"/>
  <c r="G167" i="1" s="1"/>
  <c r="H167" i="1" s="1"/>
  <c r="K167" i="1" s="1"/>
  <c r="L167" i="1" s="1"/>
  <c r="E168" i="1"/>
  <c r="G168" i="1" s="1"/>
  <c r="H168" i="1" s="1"/>
  <c r="K168" i="1" s="1"/>
  <c r="L168" i="1" s="1"/>
  <c r="E169" i="1"/>
  <c r="G169" i="1" s="1"/>
  <c r="H169" i="1" s="1"/>
  <c r="K169" i="1" s="1"/>
  <c r="L169" i="1" s="1"/>
  <c r="E170" i="1"/>
  <c r="G170" i="1" s="1"/>
  <c r="H170" i="1" s="1"/>
  <c r="K170" i="1" s="1"/>
  <c r="L170" i="1" s="1"/>
  <c r="E171" i="1"/>
  <c r="G171" i="1" s="1"/>
  <c r="H171" i="1" s="1"/>
  <c r="K171" i="1" s="1"/>
  <c r="L171" i="1" s="1"/>
  <c r="E172" i="1"/>
  <c r="G172" i="1" s="1"/>
  <c r="H172" i="1" s="1"/>
  <c r="K172" i="1" s="1"/>
  <c r="L172" i="1" s="1"/>
  <c r="E173" i="1"/>
  <c r="G173" i="1" s="1"/>
  <c r="H173" i="1" s="1"/>
  <c r="K173" i="1" s="1"/>
  <c r="L173" i="1" s="1"/>
  <c r="E174" i="1"/>
  <c r="G174" i="1" s="1"/>
  <c r="H174" i="1" s="1"/>
  <c r="K174" i="1" s="1"/>
  <c r="L174" i="1" s="1"/>
  <c r="E175" i="1"/>
  <c r="G175" i="1" s="1"/>
  <c r="H175" i="1" s="1"/>
  <c r="K175" i="1" s="1"/>
  <c r="L175" i="1" s="1"/>
  <c r="E176" i="1"/>
  <c r="G176" i="1" s="1"/>
  <c r="H176" i="1" s="1"/>
  <c r="K176" i="1" s="1"/>
  <c r="L176" i="1" s="1"/>
  <c r="E177" i="1"/>
  <c r="G177" i="1" s="1"/>
  <c r="H177" i="1" s="1"/>
  <c r="K177" i="1" s="1"/>
  <c r="L177" i="1" s="1"/>
  <c r="E178" i="1"/>
  <c r="G178" i="1" s="1"/>
  <c r="H178" i="1" s="1"/>
  <c r="K178" i="1" s="1"/>
  <c r="L178" i="1" s="1"/>
  <c r="E179" i="1"/>
  <c r="G179" i="1" s="1"/>
  <c r="H179" i="1" s="1"/>
  <c r="K179" i="1" s="1"/>
  <c r="L179" i="1" s="1"/>
  <c r="E180" i="1"/>
  <c r="G180" i="1" s="1"/>
  <c r="H180" i="1" s="1"/>
  <c r="K180" i="1" s="1"/>
  <c r="L180" i="1" s="1"/>
  <c r="E181" i="1"/>
  <c r="G181" i="1" s="1"/>
  <c r="H181" i="1" s="1"/>
  <c r="K181" i="1" s="1"/>
  <c r="L181" i="1" s="1"/>
  <c r="E182" i="1"/>
  <c r="G182" i="1" s="1"/>
  <c r="H182" i="1" s="1"/>
  <c r="K182" i="1" s="1"/>
  <c r="L182" i="1" s="1"/>
  <c r="E183" i="1"/>
  <c r="G183" i="1" s="1"/>
  <c r="H183" i="1" s="1"/>
  <c r="K183" i="1" s="1"/>
  <c r="L183" i="1" s="1"/>
  <c r="E184" i="1"/>
  <c r="G184" i="1" s="1"/>
  <c r="H184" i="1" s="1"/>
  <c r="K184" i="1" s="1"/>
  <c r="L184" i="1" s="1"/>
  <c r="E185" i="1"/>
  <c r="G185" i="1" s="1"/>
  <c r="H185" i="1" s="1"/>
  <c r="K185" i="1" s="1"/>
  <c r="L185" i="1" s="1"/>
  <c r="E186" i="1"/>
  <c r="G186" i="1" s="1"/>
  <c r="H186" i="1" s="1"/>
  <c r="K186" i="1" s="1"/>
  <c r="L186" i="1" s="1"/>
  <c r="E187" i="1"/>
  <c r="G187" i="1" s="1"/>
  <c r="H187" i="1" s="1"/>
  <c r="K187" i="1" s="1"/>
  <c r="L187" i="1" s="1"/>
  <c r="E188" i="1"/>
  <c r="G188" i="1" s="1"/>
  <c r="H188" i="1" s="1"/>
  <c r="K188" i="1" s="1"/>
  <c r="L188" i="1" s="1"/>
  <c r="E189" i="1"/>
  <c r="G189" i="1" s="1"/>
  <c r="H189" i="1" s="1"/>
  <c r="K189" i="1" s="1"/>
  <c r="L189" i="1" s="1"/>
  <c r="E190" i="1"/>
  <c r="G190" i="1" s="1"/>
  <c r="H190" i="1" s="1"/>
  <c r="K190" i="1" s="1"/>
  <c r="L190" i="1" s="1"/>
  <c r="E191" i="1"/>
  <c r="G191" i="1" s="1"/>
  <c r="H191" i="1" s="1"/>
  <c r="K191" i="1" s="1"/>
  <c r="L191" i="1" s="1"/>
  <c r="E192" i="1"/>
  <c r="G192" i="1" s="1"/>
  <c r="H192" i="1" s="1"/>
  <c r="K192" i="1" s="1"/>
  <c r="L192" i="1" s="1"/>
  <c r="E193" i="1"/>
  <c r="G193" i="1" s="1"/>
  <c r="H193" i="1" s="1"/>
  <c r="K193" i="1" s="1"/>
  <c r="L193" i="1" s="1"/>
  <c r="E194" i="1"/>
  <c r="G194" i="1" s="1"/>
  <c r="H194" i="1" s="1"/>
  <c r="K194" i="1" s="1"/>
  <c r="L194" i="1" s="1"/>
  <c r="E195" i="1"/>
  <c r="G195" i="1" s="1"/>
  <c r="H195" i="1" s="1"/>
  <c r="K195" i="1" s="1"/>
  <c r="L195" i="1" s="1"/>
  <c r="E196" i="1"/>
  <c r="G196" i="1" s="1"/>
  <c r="H196" i="1" s="1"/>
  <c r="K196" i="1" s="1"/>
  <c r="L196" i="1" s="1"/>
  <c r="E197" i="1"/>
  <c r="G197" i="1" s="1"/>
  <c r="H197" i="1" s="1"/>
  <c r="K197" i="1" s="1"/>
  <c r="L197" i="1" s="1"/>
  <c r="E198" i="1"/>
  <c r="G198" i="1" s="1"/>
  <c r="H198" i="1" s="1"/>
  <c r="K198" i="1" s="1"/>
  <c r="L198" i="1" s="1"/>
  <c r="E199" i="1"/>
  <c r="G199" i="1" s="1"/>
  <c r="H199" i="1" s="1"/>
  <c r="K199" i="1" s="1"/>
  <c r="L199" i="1" s="1"/>
  <c r="E200" i="1"/>
  <c r="G200" i="1" s="1"/>
  <c r="H200" i="1" s="1"/>
  <c r="K200" i="1" s="1"/>
  <c r="L200" i="1" s="1"/>
  <c r="E201" i="1"/>
  <c r="G201" i="1" s="1"/>
  <c r="H201" i="1" s="1"/>
  <c r="K201" i="1" s="1"/>
  <c r="L201" i="1" s="1"/>
  <c r="E202" i="1"/>
  <c r="G202" i="1" s="1"/>
  <c r="H202" i="1" s="1"/>
  <c r="K202" i="1" s="1"/>
  <c r="L202" i="1" s="1"/>
  <c r="E203" i="1"/>
  <c r="G203" i="1" s="1"/>
  <c r="H203" i="1" s="1"/>
  <c r="K203" i="1" s="1"/>
  <c r="L203" i="1" s="1"/>
  <c r="E204" i="1"/>
  <c r="G204" i="1" s="1"/>
  <c r="H204" i="1" s="1"/>
  <c r="K204" i="1" s="1"/>
  <c r="L204" i="1" s="1"/>
  <c r="E205" i="1"/>
  <c r="G205" i="1" s="1"/>
  <c r="H205" i="1" s="1"/>
  <c r="K205" i="1" s="1"/>
  <c r="L205" i="1" s="1"/>
  <c r="E206" i="1"/>
  <c r="G206" i="1" s="1"/>
  <c r="H206" i="1" s="1"/>
  <c r="K206" i="1" s="1"/>
  <c r="L206" i="1" s="1"/>
  <c r="E207" i="1"/>
  <c r="G207" i="1" s="1"/>
  <c r="H207" i="1" s="1"/>
  <c r="K207" i="1" s="1"/>
  <c r="L207" i="1" s="1"/>
  <c r="E208" i="1"/>
  <c r="G208" i="1" s="1"/>
  <c r="H208" i="1" s="1"/>
  <c r="K208" i="1" s="1"/>
  <c r="L208" i="1" s="1"/>
  <c r="E209" i="1"/>
  <c r="G209" i="1" s="1"/>
  <c r="H209" i="1" s="1"/>
  <c r="K209" i="1" s="1"/>
  <c r="L209" i="1" s="1"/>
  <c r="E210" i="1"/>
  <c r="G210" i="1" s="1"/>
  <c r="H210" i="1" s="1"/>
  <c r="K210" i="1" s="1"/>
  <c r="L210" i="1" s="1"/>
  <c r="E211" i="1"/>
  <c r="G211" i="1" s="1"/>
  <c r="H211" i="1" s="1"/>
  <c r="K211" i="1" s="1"/>
  <c r="L211" i="1" s="1"/>
  <c r="E212" i="1"/>
  <c r="G212" i="1" s="1"/>
  <c r="H212" i="1" s="1"/>
  <c r="K212" i="1" s="1"/>
  <c r="L212" i="1" s="1"/>
  <c r="E213" i="1"/>
  <c r="G213" i="1" s="1"/>
  <c r="H213" i="1" s="1"/>
  <c r="K213" i="1" s="1"/>
  <c r="L213" i="1" s="1"/>
  <c r="E214" i="1"/>
  <c r="G214" i="1" s="1"/>
  <c r="H214" i="1" s="1"/>
  <c r="K214" i="1" s="1"/>
  <c r="L214" i="1" s="1"/>
  <c r="E215" i="1"/>
  <c r="G215" i="1" s="1"/>
  <c r="H215" i="1" s="1"/>
  <c r="K215" i="1" s="1"/>
  <c r="L215" i="1" s="1"/>
  <c r="E216" i="1"/>
  <c r="G216" i="1" s="1"/>
  <c r="H216" i="1" s="1"/>
  <c r="K216" i="1" s="1"/>
  <c r="L216" i="1" s="1"/>
  <c r="E217" i="1"/>
  <c r="G217" i="1" s="1"/>
  <c r="H217" i="1" s="1"/>
  <c r="K217" i="1" s="1"/>
  <c r="L217" i="1" s="1"/>
  <c r="E218" i="1"/>
  <c r="G218" i="1" s="1"/>
  <c r="H218" i="1" s="1"/>
  <c r="K218" i="1" s="1"/>
  <c r="L218" i="1" s="1"/>
  <c r="E219" i="1"/>
  <c r="G219" i="1" s="1"/>
  <c r="E144" i="1"/>
  <c r="E145" i="1"/>
  <c r="E146" i="1"/>
  <c r="E147" i="1"/>
  <c r="E148" i="1"/>
  <c r="E149" i="1"/>
  <c r="E150" i="1"/>
  <c r="E151" i="1"/>
  <c r="E143" i="1"/>
  <c r="E10" i="1"/>
  <c r="G10" i="1" s="1"/>
  <c r="H10" i="1" s="1"/>
  <c r="E11" i="1"/>
  <c r="G11" i="1" s="1"/>
  <c r="H11" i="1" s="1"/>
  <c r="E12" i="1"/>
  <c r="G12" i="1" s="1"/>
  <c r="H12" i="1" s="1"/>
  <c r="E13" i="1"/>
  <c r="G13" i="1" s="1"/>
  <c r="H13" i="1" s="1"/>
  <c r="E14" i="1"/>
  <c r="G14" i="1" s="1"/>
  <c r="H14" i="1" s="1"/>
  <c r="E15" i="1"/>
  <c r="G15" i="1" s="1"/>
  <c r="H15" i="1" s="1"/>
  <c r="E16" i="1"/>
  <c r="G16" i="1" s="1"/>
  <c r="H16" i="1" s="1"/>
  <c r="E17" i="1"/>
  <c r="G17" i="1" s="1"/>
  <c r="H17" i="1" s="1"/>
  <c r="E18" i="1"/>
  <c r="G18" i="1" s="1"/>
  <c r="H18" i="1" s="1"/>
  <c r="E19" i="1"/>
  <c r="G19" i="1" s="1"/>
  <c r="H19" i="1" s="1"/>
  <c r="E20" i="1"/>
  <c r="G20" i="1" s="1"/>
  <c r="H20" i="1" s="1"/>
  <c r="E21" i="1"/>
  <c r="G21" i="1" s="1"/>
  <c r="H21" i="1" s="1"/>
  <c r="E22" i="1"/>
  <c r="G22" i="1" s="1"/>
  <c r="H22" i="1" s="1"/>
  <c r="E9" i="1"/>
  <c r="G9" i="1" s="1"/>
  <c r="H9" i="1" s="1"/>
  <c r="A26" i="1"/>
  <c r="B26" i="1"/>
  <c r="C26" i="1"/>
  <c r="D26" i="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94" i="1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3" i="11"/>
  <c r="H219" i="1" l="1"/>
  <c r="K219" i="1" s="1"/>
  <c r="L219" i="1" s="1"/>
  <c r="G155" i="1"/>
  <c r="E226" i="1"/>
  <c r="E100" i="1"/>
  <c r="G100" i="1" s="1"/>
  <c r="H100" i="1" s="1"/>
  <c r="K100" i="1" s="1"/>
  <c r="L100" i="1" s="1"/>
  <c r="E68" i="1"/>
  <c r="G68" i="1" s="1"/>
  <c r="H68" i="1" s="1"/>
  <c r="K68" i="1" s="1"/>
  <c r="L68" i="1" s="1"/>
  <c r="E132" i="1"/>
  <c r="H132" i="1" s="1"/>
  <c r="K132" i="1" s="1"/>
  <c r="L132" i="1" s="1"/>
  <c r="E80" i="1"/>
  <c r="G80" i="1" s="1"/>
  <c r="H80" i="1" s="1"/>
  <c r="K80" i="1" s="1"/>
  <c r="L80" i="1" s="1"/>
  <c r="E64" i="1"/>
  <c r="G64" i="1" s="1"/>
  <c r="H64" i="1" s="1"/>
  <c r="K64" i="1" s="1"/>
  <c r="L64" i="1" s="1"/>
  <c r="E62" i="1"/>
  <c r="G62" i="1" s="1"/>
  <c r="H62" i="1" s="1"/>
  <c r="K62" i="1" s="1"/>
  <c r="L62" i="1" s="1"/>
  <c r="E58" i="1"/>
  <c r="G58" i="1" s="1"/>
  <c r="H58" i="1" s="1"/>
  <c r="K58" i="1" s="1"/>
  <c r="L58" i="1" s="1"/>
  <c r="E54" i="1"/>
  <c r="G54" i="1" s="1"/>
  <c r="H54" i="1" s="1"/>
  <c r="K54" i="1" s="1"/>
  <c r="L54" i="1" s="1"/>
  <c r="E50" i="1"/>
  <c r="G50" i="1" s="1"/>
  <c r="H50" i="1" s="1"/>
  <c r="K50" i="1" s="1"/>
  <c r="L50" i="1" s="1"/>
  <c r="E48" i="1"/>
  <c r="G48" i="1" s="1"/>
  <c r="H48" i="1" s="1"/>
  <c r="K48" i="1" s="1"/>
  <c r="L48" i="1" s="1"/>
  <c r="E46" i="1"/>
  <c r="G46" i="1" s="1"/>
  <c r="H46" i="1" s="1"/>
  <c r="K46" i="1" s="1"/>
  <c r="L46" i="1" s="1"/>
  <c r="E42" i="1"/>
  <c r="G42" i="1" s="1"/>
  <c r="H42" i="1" s="1"/>
  <c r="K42" i="1" s="1"/>
  <c r="L42" i="1" s="1"/>
  <c r="E38" i="1"/>
  <c r="G38" i="1" s="1"/>
  <c r="H38" i="1" s="1"/>
  <c r="K38" i="1" s="1"/>
  <c r="L38" i="1" s="1"/>
  <c r="E36" i="1"/>
  <c r="G36" i="1" s="1"/>
  <c r="H36" i="1" s="1"/>
  <c r="K36" i="1" s="1"/>
  <c r="L36" i="1" s="1"/>
  <c r="E34" i="1"/>
  <c r="G34" i="1" s="1"/>
  <c r="H34" i="1" s="1"/>
  <c r="K34" i="1" s="1"/>
  <c r="L34" i="1" s="1"/>
  <c r="E32" i="1"/>
  <c r="G32" i="1" s="1"/>
  <c r="H32" i="1" s="1"/>
  <c r="K32" i="1" s="1"/>
  <c r="L32" i="1" s="1"/>
  <c r="E30" i="1"/>
  <c r="G30" i="1" s="1"/>
  <c r="H30" i="1" s="1"/>
  <c r="K30" i="1" s="1"/>
  <c r="L30" i="1" s="1"/>
  <c r="E134" i="1"/>
  <c r="H134" i="1" s="1"/>
  <c r="K134" i="1" s="1"/>
  <c r="L134" i="1" s="1"/>
  <c r="E130" i="1"/>
  <c r="H130" i="1" s="1"/>
  <c r="K130" i="1" s="1"/>
  <c r="L130" i="1" s="1"/>
  <c r="E128" i="1"/>
  <c r="H128" i="1" s="1"/>
  <c r="K128" i="1" s="1"/>
  <c r="L128" i="1" s="1"/>
  <c r="E126" i="1"/>
  <c r="H126" i="1" s="1"/>
  <c r="K126" i="1" s="1"/>
  <c r="L126" i="1" s="1"/>
  <c r="E122" i="1"/>
  <c r="H122" i="1" s="1"/>
  <c r="K122" i="1" s="1"/>
  <c r="L122" i="1" s="1"/>
  <c r="E88" i="1"/>
  <c r="G88" i="1" s="1"/>
  <c r="H88" i="1" s="1"/>
  <c r="K88" i="1" s="1"/>
  <c r="L88" i="1" s="1"/>
  <c r="E56" i="1"/>
  <c r="G56" i="1" s="1"/>
  <c r="H56" i="1" s="1"/>
  <c r="K56" i="1" s="1"/>
  <c r="L56" i="1" s="1"/>
  <c r="E40" i="1"/>
  <c r="G40" i="1" s="1"/>
  <c r="H40" i="1" s="1"/>
  <c r="K40" i="1" s="1"/>
  <c r="L40" i="1" s="1"/>
  <c r="E116" i="1"/>
  <c r="H116" i="1" s="1"/>
  <c r="K116" i="1" s="1"/>
  <c r="L116" i="1" s="1"/>
  <c r="E108" i="1"/>
  <c r="G108" i="1" s="1"/>
  <c r="H108" i="1" s="1"/>
  <c r="K108" i="1" s="1"/>
  <c r="L108" i="1" s="1"/>
  <c r="E136" i="1"/>
  <c r="H136" i="1" s="1"/>
  <c r="K136" i="1" s="1"/>
  <c r="L136" i="1" s="1"/>
  <c r="E140" i="1"/>
  <c r="H140" i="1" s="1"/>
  <c r="K140" i="1" s="1"/>
  <c r="L140" i="1" s="1"/>
  <c r="E84" i="1"/>
  <c r="G84" i="1" s="1"/>
  <c r="H84" i="1" s="1"/>
  <c r="K84" i="1" s="1"/>
  <c r="L84" i="1" s="1"/>
  <c r="E72" i="1"/>
  <c r="G72" i="1" s="1"/>
  <c r="H72" i="1" s="1"/>
  <c r="K72" i="1" s="1"/>
  <c r="L72" i="1" s="1"/>
  <c r="E52" i="1"/>
  <c r="G52" i="1" s="1"/>
  <c r="H52" i="1" s="1"/>
  <c r="K52" i="1" s="1"/>
  <c r="L52" i="1" s="1"/>
  <c r="E120" i="1"/>
  <c r="H120" i="1" s="1"/>
  <c r="K120" i="1" s="1"/>
  <c r="L120" i="1" s="1"/>
  <c r="E104" i="1"/>
  <c r="G104" i="1" s="1"/>
  <c r="H104" i="1" s="1"/>
  <c r="K104" i="1" s="1"/>
  <c r="L104" i="1" s="1"/>
  <c r="E118" i="1"/>
  <c r="H118" i="1" s="1"/>
  <c r="K118" i="1" s="1"/>
  <c r="L118" i="1" s="1"/>
  <c r="E114" i="1"/>
  <c r="E112" i="1"/>
  <c r="G112" i="1" s="1"/>
  <c r="H112" i="1" s="1"/>
  <c r="K112" i="1" s="1"/>
  <c r="L112" i="1" s="1"/>
  <c r="E110" i="1"/>
  <c r="G110" i="1" s="1"/>
  <c r="H110" i="1" s="1"/>
  <c r="K110" i="1" s="1"/>
  <c r="L110" i="1" s="1"/>
  <c r="E106" i="1"/>
  <c r="G106" i="1" s="1"/>
  <c r="H106" i="1" s="1"/>
  <c r="K106" i="1" s="1"/>
  <c r="L106" i="1" s="1"/>
  <c r="E138" i="1"/>
  <c r="H138" i="1" s="1"/>
  <c r="K138" i="1" s="1"/>
  <c r="L138" i="1" s="1"/>
  <c r="E96" i="1"/>
  <c r="G96" i="1" s="1"/>
  <c r="H96" i="1" s="1"/>
  <c r="K96" i="1" s="1"/>
  <c r="L96" i="1" s="1"/>
  <c r="E92" i="1"/>
  <c r="E76" i="1"/>
  <c r="G76" i="1" s="1"/>
  <c r="H76" i="1" s="1"/>
  <c r="K76" i="1" s="1"/>
  <c r="L76" i="1" s="1"/>
  <c r="E60" i="1"/>
  <c r="G60" i="1" s="1"/>
  <c r="H60" i="1" s="1"/>
  <c r="K60" i="1" s="1"/>
  <c r="L60" i="1" s="1"/>
  <c r="E44" i="1"/>
  <c r="G44" i="1" s="1"/>
  <c r="H44" i="1" s="1"/>
  <c r="K44" i="1" s="1"/>
  <c r="L44" i="1" s="1"/>
  <c r="E28" i="1"/>
  <c r="E124" i="1"/>
  <c r="H124" i="1" s="1"/>
  <c r="K124" i="1" s="1"/>
  <c r="L124" i="1" s="1"/>
  <c r="E26" i="1"/>
  <c r="E103" i="1"/>
  <c r="G103" i="1" s="1"/>
  <c r="H103" i="1" s="1"/>
  <c r="K103" i="1" s="1"/>
  <c r="L103" i="1" s="1"/>
  <c r="E102" i="1"/>
  <c r="G102" i="1" s="1"/>
  <c r="H102" i="1" s="1"/>
  <c r="K102" i="1" s="1"/>
  <c r="L102" i="1" s="1"/>
  <c r="E101" i="1"/>
  <c r="G101" i="1" s="1"/>
  <c r="H101" i="1" s="1"/>
  <c r="K101" i="1" s="1"/>
  <c r="L101" i="1" s="1"/>
  <c r="E99" i="1"/>
  <c r="G99" i="1" s="1"/>
  <c r="H99" i="1" s="1"/>
  <c r="K99" i="1" s="1"/>
  <c r="L99" i="1" s="1"/>
  <c r="E98" i="1"/>
  <c r="G98" i="1" s="1"/>
  <c r="H98" i="1" s="1"/>
  <c r="K98" i="1" s="1"/>
  <c r="L98" i="1" s="1"/>
  <c r="E97" i="1"/>
  <c r="G97" i="1" s="1"/>
  <c r="H97" i="1" s="1"/>
  <c r="K97" i="1" s="1"/>
  <c r="L97" i="1" s="1"/>
  <c r="E95" i="1"/>
  <c r="G95" i="1" s="1"/>
  <c r="H95" i="1" s="1"/>
  <c r="K95" i="1" s="1"/>
  <c r="L95" i="1" s="1"/>
  <c r="E94" i="1"/>
  <c r="G94" i="1" s="1"/>
  <c r="H94" i="1" s="1"/>
  <c r="K94" i="1" s="1"/>
  <c r="L94" i="1" s="1"/>
  <c r="E93" i="1"/>
  <c r="G93" i="1" s="1"/>
  <c r="H93" i="1" s="1"/>
  <c r="K93" i="1" s="1"/>
  <c r="L93" i="1" s="1"/>
  <c r="E91" i="1"/>
  <c r="G91" i="1" s="1"/>
  <c r="H91" i="1" s="1"/>
  <c r="K91" i="1" s="1"/>
  <c r="L91" i="1" s="1"/>
  <c r="E90" i="1"/>
  <c r="G90" i="1" s="1"/>
  <c r="H90" i="1" s="1"/>
  <c r="K90" i="1" s="1"/>
  <c r="L90" i="1" s="1"/>
  <c r="E89" i="1"/>
  <c r="G89" i="1" s="1"/>
  <c r="H89" i="1" s="1"/>
  <c r="K89" i="1" s="1"/>
  <c r="L89" i="1" s="1"/>
  <c r="E87" i="1"/>
  <c r="G87" i="1" s="1"/>
  <c r="H87" i="1" s="1"/>
  <c r="K87" i="1" s="1"/>
  <c r="L87" i="1" s="1"/>
  <c r="E86" i="1"/>
  <c r="G86" i="1" s="1"/>
  <c r="H86" i="1" s="1"/>
  <c r="K86" i="1" s="1"/>
  <c r="L86" i="1" s="1"/>
  <c r="E85" i="1"/>
  <c r="G85" i="1" s="1"/>
  <c r="H85" i="1" s="1"/>
  <c r="K85" i="1" s="1"/>
  <c r="L85" i="1" s="1"/>
  <c r="E83" i="1"/>
  <c r="G83" i="1" s="1"/>
  <c r="H83" i="1" s="1"/>
  <c r="K83" i="1" s="1"/>
  <c r="L83" i="1" s="1"/>
  <c r="E82" i="1"/>
  <c r="G82" i="1" s="1"/>
  <c r="H82" i="1" s="1"/>
  <c r="K82" i="1" s="1"/>
  <c r="L82" i="1" s="1"/>
  <c r="E81" i="1"/>
  <c r="G81" i="1" s="1"/>
  <c r="H81" i="1" s="1"/>
  <c r="K81" i="1" s="1"/>
  <c r="L81" i="1" s="1"/>
  <c r="E79" i="1"/>
  <c r="G79" i="1" s="1"/>
  <c r="H79" i="1" s="1"/>
  <c r="K79" i="1" s="1"/>
  <c r="L79" i="1" s="1"/>
  <c r="E78" i="1"/>
  <c r="G78" i="1" s="1"/>
  <c r="H78" i="1" s="1"/>
  <c r="K78" i="1" s="1"/>
  <c r="L78" i="1" s="1"/>
  <c r="E77" i="1"/>
  <c r="G77" i="1" s="1"/>
  <c r="H77" i="1" s="1"/>
  <c r="K77" i="1" s="1"/>
  <c r="L77" i="1" s="1"/>
  <c r="E75" i="1"/>
  <c r="G75" i="1" s="1"/>
  <c r="H75" i="1" s="1"/>
  <c r="K75" i="1" s="1"/>
  <c r="L75" i="1" s="1"/>
  <c r="E74" i="1"/>
  <c r="G74" i="1" s="1"/>
  <c r="H74" i="1" s="1"/>
  <c r="K74" i="1" s="1"/>
  <c r="L74" i="1" s="1"/>
  <c r="E73" i="1"/>
  <c r="G73" i="1" s="1"/>
  <c r="H73" i="1" s="1"/>
  <c r="K73" i="1" s="1"/>
  <c r="L73" i="1" s="1"/>
  <c r="E71" i="1"/>
  <c r="G71" i="1" s="1"/>
  <c r="H71" i="1" s="1"/>
  <c r="K71" i="1" s="1"/>
  <c r="L71" i="1" s="1"/>
  <c r="E70" i="1"/>
  <c r="G70" i="1" s="1"/>
  <c r="H70" i="1" s="1"/>
  <c r="K70" i="1" s="1"/>
  <c r="L70" i="1" s="1"/>
  <c r="E69" i="1"/>
  <c r="G69" i="1" s="1"/>
  <c r="H69" i="1" s="1"/>
  <c r="K69" i="1" s="1"/>
  <c r="L69" i="1" s="1"/>
  <c r="E67" i="1"/>
  <c r="G67" i="1" s="1"/>
  <c r="H67" i="1" s="1"/>
  <c r="K67" i="1" s="1"/>
  <c r="L67" i="1" s="1"/>
  <c r="E66" i="1"/>
  <c r="G66" i="1" s="1"/>
  <c r="H66" i="1" s="1"/>
  <c r="K66" i="1" s="1"/>
  <c r="L66" i="1" s="1"/>
  <c r="E65" i="1"/>
  <c r="G65" i="1" s="1"/>
  <c r="H65" i="1" s="1"/>
  <c r="K65" i="1" s="1"/>
  <c r="L65" i="1" s="1"/>
  <c r="E63" i="1"/>
  <c r="G63" i="1" s="1"/>
  <c r="H63" i="1" s="1"/>
  <c r="K63" i="1" s="1"/>
  <c r="L63" i="1" s="1"/>
  <c r="E61" i="1"/>
  <c r="G61" i="1" s="1"/>
  <c r="H61" i="1" s="1"/>
  <c r="K61" i="1" s="1"/>
  <c r="L61" i="1" s="1"/>
  <c r="E59" i="1"/>
  <c r="G59" i="1" s="1"/>
  <c r="H59" i="1" s="1"/>
  <c r="K59" i="1" s="1"/>
  <c r="L59" i="1" s="1"/>
  <c r="E57" i="1"/>
  <c r="G57" i="1" s="1"/>
  <c r="H57" i="1" s="1"/>
  <c r="K57" i="1" s="1"/>
  <c r="L57" i="1" s="1"/>
  <c r="E55" i="1"/>
  <c r="G55" i="1" s="1"/>
  <c r="H55" i="1" s="1"/>
  <c r="K55" i="1" s="1"/>
  <c r="L55" i="1" s="1"/>
  <c r="E53" i="1"/>
  <c r="G53" i="1" s="1"/>
  <c r="H53" i="1" s="1"/>
  <c r="K53" i="1" s="1"/>
  <c r="L53" i="1" s="1"/>
  <c r="E51" i="1"/>
  <c r="G51" i="1" s="1"/>
  <c r="H51" i="1" s="1"/>
  <c r="K51" i="1" s="1"/>
  <c r="L51" i="1" s="1"/>
  <c r="E49" i="1"/>
  <c r="G49" i="1" s="1"/>
  <c r="H49" i="1" s="1"/>
  <c r="K49" i="1" s="1"/>
  <c r="L49" i="1" s="1"/>
  <c r="E47" i="1"/>
  <c r="G47" i="1" s="1"/>
  <c r="H47" i="1" s="1"/>
  <c r="K47" i="1" s="1"/>
  <c r="L47" i="1" s="1"/>
  <c r="E45" i="1"/>
  <c r="G45" i="1" s="1"/>
  <c r="H45" i="1" s="1"/>
  <c r="K45" i="1" s="1"/>
  <c r="L45" i="1" s="1"/>
  <c r="E43" i="1"/>
  <c r="G43" i="1" s="1"/>
  <c r="H43" i="1" s="1"/>
  <c r="K43" i="1" s="1"/>
  <c r="L43" i="1" s="1"/>
  <c r="E41" i="1"/>
  <c r="G41" i="1" s="1"/>
  <c r="H41" i="1" s="1"/>
  <c r="K41" i="1" s="1"/>
  <c r="L41" i="1" s="1"/>
  <c r="E39" i="1"/>
  <c r="G39" i="1" s="1"/>
  <c r="H39" i="1" s="1"/>
  <c r="K39" i="1" s="1"/>
  <c r="L39" i="1" s="1"/>
  <c r="E37" i="1"/>
  <c r="G37" i="1" s="1"/>
  <c r="H37" i="1" s="1"/>
  <c r="K37" i="1" s="1"/>
  <c r="L37" i="1" s="1"/>
  <c r="E35" i="1"/>
  <c r="G35" i="1" s="1"/>
  <c r="H35" i="1" s="1"/>
  <c r="K35" i="1" s="1"/>
  <c r="L35" i="1" s="1"/>
  <c r="E33" i="1"/>
  <c r="G33" i="1" s="1"/>
  <c r="H33" i="1" s="1"/>
  <c r="K33" i="1" s="1"/>
  <c r="L33" i="1" s="1"/>
  <c r="E31" i="1"/>
  <c r="G31" i="1" s="1"/>
  <c r="H31" i="1" s="1"/>
  <c r="K31" i="1" s="1"/>
  <c r="L31" i="1" s="1"/>
  <c r="E29" i="1"/>
  <c r="E27" i="1"/>
  <c r="E133" i="1"/>
  <c r="H133" i="1" s="1"/>
  <c r="K133" i="1" s="1"/>
  <c r="L133" i="1" s="1"/>
  <c r="E131" i="1"/>
  <c r="H131" i="1" s="1"/>
  <c r="K131" i="1" s="1"/>
  <c r="L131" i="1" s="1"/>
  <c r="E129" i="1"/>
  <c r="H129" i="1" s="1"/>
  <c r="K129" i="1" s="1"/>
  <c r="L129" i="1" s="1"/>
  <c r="E127" i="1"/>
  <c r="H127" i="1" s="1"/>
  <c r="K127" i="1" s="1"/>
  <c r="L127" i="1" s="1"/>
  <c r="E125" i="1"/>
  <c r="H125" i="1" s="1"/>
  <c r="K125" i="1" s="1"/>
  <c r="L125" i="1" s="1"/>
  <c r="E123" i="1"/>
  <c r="H123" i="1" s="1"/>
  <c r="K123" i="1" s="1"/>
  <c r="L123" i="1" s="1"/>
  <c r="E121" i="1"/>
  <c r="H121" i="1" s="1"/>
  <c r="K121" i="1" s="1"/>
  <c r="L121" i="1" s="1"/>
  <c r="E119" i="1"/>
  <c r="H119" i="1" s="1"/>
  <c r="K119" i="1" s="1"/>
  <c r="L119" i="1" s="1"/>
  <c r="E117" i="1"/>
  <c r="H117" i="1" s="1"/>
  <c r="K117" i="1" s="1"/>
  <c r="L117" i="1" s="1"/>
  <c r="E115" i="1"/>
  <c r="G115" i="1" s="1"/>
  <c r="H115" i="1" s="1"/>
  <c r="K115" i="1" s="1"/>
  <c r="L115" i="1" s="1"/>
  <c r="E113" i="1"/>
  <c r="G113" i="1" s="1"/>
  <c r="H113" i="1" s="1"/>
  <c r="K113" i="1" s="1"/>
  <c r="L113" i="1" s="1"/>
  <c r="E111" i="1"/>
  <c r="G111" i="1" s="1"/>
  <c r="H111" i="1" s="1"/>
  <c r="K111" i="1" s="1"/>
  <c r="L111" i="1" s="1"/>
  <c r="E109" i="1"/>
  <c r="G109" i="1" s="1"/>
  <c r="H109" i="1" s="1"/>
  <c r="K109" i="1" s="1"/>
  <c r="L109" i="1" s="1"/>
  <c r="E107" i="1"/>
  <c r="G107" i="1" s="1"/>
  <c r="H107" i="1" s="1"/>
  <c r="K107" i="1" s="1"/>
  <c r="L107" i="1" s="1"/>
  <c r="E105" i="1"/>
  <c r="G105" i="1" s="1"/>
  <c r="H105" i="1" s="1"/>
  <c r="K105" i="1" s="1"/>
  <c r="L105" i="1" s="1"/>
  <c r="E139" i="1"/>
  <c r="H139" i="1" s="1"/>
  <c r="K139" i="1" s="1"/>
  <c r="L139" i="1" s="1"/>
  <c r="E137" i="1"/>
  <c r="H137" i="1" s="1"/>
  <c r="K137" i="1" s="1"/>
  <c r="L137" i="1" s="1"/>
  <c r="E135" i="1"/>
  <c r="H135" i="1" s="1"/>
  <c r="K135" i="1" s="1"/>
  <c r="L135" i="1" s="1"/>
  <c r="G114" i="1"/>
  <c r="H114" i="1" s="1"/>
  <c r="K114" i="1" s="1"/>
  <c r="L114" i="1" s="1"/>
  <c r="G92" i="1"/>
  <c r="H92" i="1" s="1"/>
  <c r="K92" i="1" s="1"/>
  <c r="L92" i="1" s="1"/>
  <c r="A25" i="1"/>
  <c r="G129" i="11"/>
  <c r="G131" i="11" s="1"/>
  <c r="H155" i="1" l="1"/>
  <c r="G226" i="1"/>
  <c r="G26" i="1"/>
  <c r="H26" i="1" s="1"/>
  <c r="K26" i="1" s="1"/>
  <c r="L26" i="1" s="1"/>
  <c r="K155" i="1" l="1"/>
  <c r="L155" i="1" s="1"/>
  <c r="H226" i="1"/>
  <c r="F236" i="1"/>
  <c r="K21" i="1" l="1"/>
  <c r="L21" i="1" s="1"/>
  <c r="K20" i="1"/>
  <c r="L20" i="1" s="1"/>
  <c r="K17" i="1"/>
  <c r="L17" i="1" s="1"/>
  <c r="K22" i="1"/>
  <c r="L22" i="1" s="1"/>
  <c r="K14" i="1"/>
  <c r="L14" i="1" s="1"/>
  <c r="K12" i="1"/>
  <c r="L12" i="1" s="1"/>
  <c r="K18" i="1"/>
  <c r="L18" i="1" s="1"/>
  <c r="K16" i="1"/>
  <c r="L16" i="1" s="1"/>
  <c r="K15" i="1"/>
  <c r="L15" i="1" s="1"/>
  <c r="K13" i="1"/>
  <c r="L13" i="1" s="1"/>
  <c r="K19" i="1"/>
  <c r="L19" i="1" s="1"/>
  <c r="K11" i="1"/>
  <c r="L11" i="1" s="1"/>
  <c r="E231" i="1" l="1"/>
  <c r="G27" i="1" l="1"/>
  <c r="H27" i="1" s="1"/>
  <c r="K27" i="1" s="1"/>
  <c r="L27" i="1" s="1"/>
  <c r="G29" i="1" l="1"/>
  <c r="H29" i="1" s="1"/>
  <c r="K29" i="1" s="1"/>
  <c r="L29" i="1" s="1"/>
  <c r="I141" i="1"/>
  <c r="J141" i="1"/>
  <c r="A8" i="1"/>
  <c r="E141" i="1" l="1"/>
  <c r="G28" i="1"/>
  <c r="H28" i="1" s="1"/>
  <c r="K28" i="1" s="1"/>
  <c r="L28" i="1" s="1"/>
  <c r="J3" i="3"/>
  <c r="E154" i="1"/>
  <c r="K3" i="3"/>
  <c r="L3" i="3"/>
  <c r="M3" i="3"/>
  <c r="N3" i="3"/>
  <c r="J4" i="3"/>
  <c r="K4" i="3"/>
  <c r="L4" i="3"/>
  <c r="M4" i="3"/>
  <c r="N4" i="3"/>
  <c r="A18" i="5"/>
  <c r="A19" i="5"/>
  <c r="A20" i="5"/>
  <c r="A21" i="5"/>
  <c r="A22" i="5"/>
  <c r="A23" i="5"/>
  <c r="A24" i="5"/>
  <c r="A153" i="1"/>
  <c r="A9" i="2" s="1"/>
  <c r="A142" i="1"/>
  <c r="A8" i="2" s="1"/>
  <c r="A24" i="1"/>
  <c r="A7" i="2" s="1"/>
  <c r="A6" i="2"/>
  <c r="E152" i="1" l="1"/>
  <c r="E235" i="1"/>
  <c r="G233" i="1"/>
  <c r="H233" i="1" s="1"/>
  <c r="G148" i="1"/>
  <c r="H148" i="1" s="1"/>
  <c r="G151" i="1"/>
  <c r="H151" i="1" s="1"/>
  <c r="G147" i="1"/>
  <c r="H147" i="1" s="1"/>
  <c r="G150" i="1"/>
  <c r="H150" i="1" s="1"/>
  <c r="G146" i="1"/>
  <c r="H146" i="1" s="1"/>
  <c r="G144" i="1"/>
  <c r="H144" i="1" s="1"/>
  <c r="G149" i="1"/>
  <c r="H149" i="1" s="1"/>
  <c r="G145" i="1"/>
  <c r="H145" i="1" s="1"/>
  <c r="G234" i="1"/>
  <c r="G143" i="1"/>
  <c r="H143" i="1" s="1"/>
  <c r="E23" i="1"/>
  <c r="G154" i="1"/>
  <c r="H154" i="1" s="1"/>
  <c r="G230" i="1"/>
  <c r="H230" i="1" s="1"/>
  <c r="G141" i="1"/>
  <c r="C6" i="7"/>
  <c r="G229" i="1"/>
  <c r="H229" i="1" s="1"/>
  <c r="K10" i="1"/>
  <c r="L10" i="1" s="1"/>
  <c r="O4" i="3"/>
  <c r="P4" i="3" s="1"/>
  <c r="O3" i="3"/>
  <c r="P3" i="3" s="1"/>
  <c r="H234" i="1" l="1"/>
  <c r="J234" i="1" s="1"/>
  <c r="L234" i="1" s="1"/>
  <c r="G235" i="1"/>
  <c r="G231" i="1"/>
  <c r="E227" i="1"/>
  <c r="E236" i="1" s="1"/>
  <c r="K150" i="1"/>
  <c r="L150" i="1" s="1"/>
  <c r="K144" i="1"/>
  <c r="L144" i="1" s="1"/>
  <c r="K145" i="1"/>
  <c r="L145" i="1" s="1"/>
  <c r="K146" i="1"/>
  <c r="L146" i="1" s="1"/>
  <c r="K147" i="1"/>
  <c r="L147" i="1" s="1"/>
  <c r="K148" i="1"/>
  <c r="L148" i="1" s="1"/>
  <c r="K149" i="1"/>
  <c r="L149" i="1" s="1"/>
  <c r="I230" i="1"/>
  <c r="L230" i="1" s="1"/>
  <c r="C8" i="7"/>
  <c r="K151" i="1"/>
  <c r="L151" i="1" s="1"/>
  <c r="C7" i="7"/>
  <c r="C5" i="7"/>
  <c r="D6" i="7"/>
  <c r="F6" i="7" s="1"/>
  <c r="E6" i="7" s="1"/>
  <c r="H141" i="1"/>
  <c r="G23" i="1"/>
  <c r="D5" i="7" s="1"/>
  <c r="G152" i="1"/>
  <c r="D7" i="7" s="1"/>
  <c r="P5" i="3"/>
  <c r="O5" i="3"/>
  <c r="A2" i="5"/>
  <c r="A2" i="3"/>
  <c r="A2" i="2"/>
  <c r="D8" i="7" l="1"/>
  <c r="F8" i="7" s="1"/>
  <c r="E8" i="7" s="1"/>
  <c r="B9" i="2" s="1"/>
  <c r="O9" i="2" s="1"/>
  <c r="G227" i="1"/>
  <c r="H152" i="1"/>
  <c r="K226" i="1"/>
  <c r="L226" i="1" s="1"/>
  <c r="B7" i="2"/>
  <c r="O7" i="2" s="1"/>
  <c r="F7" i="7"/>
  <c r="E7" i="7" s="1"/>
  <c r="B8" i="2" s="1"/>
  <c r="O8" i="2" s="1"/>
  <c r="F5" i="7"/>
  <c r="H23" i="1"/>
  <c r="K23" i="1" s="1"/>
  <c r="L23" i="1" s="1"/>
  <c r="A7" i="5"/>
  <c r="A6" i="5"/>
  <c r="A5" i="5"/>
  <c r="A4" i="5"/>
  <c r="E24" i="3"/>
  <c r="E23" i="3"/>
  <c r="E20" i="3"/>
  <c r="C20" i="5" s="1"/>
  <c r="D20" i="5" s="1"/>
  <c r="E20" i="5" s="1"/>
  <c r="F20" i="5" s="1"/>
  <c r="G20" i="5" s="1"/>
  <c r="E19" i="3"/>
  <c r="C19" i="5" s="1"/>
  <c r="D19" i="5" s="1"/>
  <c r="E19" i="5" s="1"/>
  <c r="F19" i="5" s="1"/>
  <c r="G19" i="5" s="1"/>
  <c r="E18" i="3"/>
  <c r="C18" i="5" s="1"/>
  <c r="D18" i="5" s="1"/>
  <c r="E18" i="5" s="1"/>
  <c r="F18" i="5" s="1"/>
  <c r="G18" i="5" s="1"/>
  <c r="E17" i="3"/>
  <c r="C17" i="5" s="1"/>
  <c r="D17" i="5" s="1"/>
  <c r="E17" i="5" s="1"/>
  <c r="F17" i="5" s="1"/>
  <c r="G17" i="5" s="1"/>
  <c r="A17" i="5"/>
  <c r="E16" i="3"/>
  <c r="C16" i="5" s="1"/>
  <c r="A16" i="5"/>
  <c r="E11" i="3"/>
  <c r="E10" i="3"/>
  <c r="E9" i="3"/>
  <c r="E8" i="3"/>
  <c r="C7" i="5" s="1"/>
  <c r="D7" i="5" s="1"/>
  <c r="E7" i="5" s="1"/>
  <c r="F7" i="5" s="1"/>
  <c r="G7" i="5" s="1"/>
  <c r="E7" i="3"/>
  <c r="C6" i="5" s="1"/>
  <c r="D6" i="5" s="1"/>
  <c r="E6" i="5" s="1"/>
  <c r="F6" i="5" s="1"/>
  <c r="G6" i="5" s="1"/>
  <c r="E6" i="3"/>
  <c r="C5" i="5" s="1"/>
  <c r="D12" i="3"/>
  <c r="N13" i="3"/>
  <c r="M13" i="3"/>
  <c r="L13" i="3"/>
  <c r="K13" i="3"/>
  <c r="J13" i="3"/>
  <c r="N12" i="3"/>
  <c r="M12" i="3"/>
  <c r="L12" i="3"/>
  <c r="K12" i="3"/>
  <c r="J12" i="3"/>
  <c r="N11" i="3"/>
  <c r="M11" i="3"/>
  <c r="L11" i="3"/>
  <c r="K11" i="3"/>
  <c r="J11" i="3"/>
  <c r="N10" i="3"/>
  <c r="M10" i="3"/>
  <c r="L10" i="3"/>
  <c r="K10" i="3"/>
  <c r="J10" i="3"/>
  <c r="N9" i="3"/>
  <c r="M9" i="3"/>
  <c r="L9" i="3"/>
  <c r="K9" i="3"/>
  <c r="J9" i="3"/>
  <c r="K154" i="1"/>
  <c r="L154" i="1" s="1"/>
  <c r="G236" i="1" l="1"/>
  <c r="E5" i="7"/>
  <c r="B6" i="2" s="1"/>
  <c r="O6" i="2" s="1"/>
  <c r="O10" i="2" s="1"/>
  <c r="D5" i="5"/>
  <c r="E5" i="5" s="1"/>
  <c r="F5" i="5" s="1"/>
  <c r="G5" i="5" s="1"/>
  <c r="H227" i="1"/>
  <c r="B11" i="5" s="1"/>
  <c r="C24" i="5"/>
  <c r="D24" i="5" s="1"/>
  <c r="E24" i="5" s="1"/>
  <c r="F24" i="5" s="1"/>
  <c r="G24" i="5" s="1"/>
  <c r="C23" i="5"/>
  <c r="D23" i="5" s="1"/>
  <c r="E23" i="5" s="1"/>
  <c r="F23" i="5" s="1"/>
  <c r="G23" i="5" s="1"/>
  <c r="E5" i="3"/>
  <c r="O12" i="3"/>
  <c r="P12" i="3" s="1"/>
  <c r="O11" i="3"/>
  <c r="P11" i="3" s="1"/>
  <c r="O10" i="3"/>
  <c r="P10" i="3" s="1"/>
  <c r="O13" i="3"/>
  <c r="P13" i="3" s="1"/>
  <c r="H231" i="1"/>
  <c r="B11" i="2" s="1"/>
  <c r="C11" i="2" s="1"/>
  <c r="J233" i="1"/>
  <c r="H235" i="1"/>
  <c r="B12" i="2" s="1"/>
  <c r="C12" i="2" s="1"/>
  <c r="K143" i="1"/>
  <c r="I229" i="1"/>
  <c r="O9" i="3"/>
  <c r="D16" i="5"/>
  <c r="K9" i="1"/>
  <c r="L9" i="1" s="1"/>
  <c r="A13" i="2"/>
  <c r="D12" i="2" l="1"/>
  <c r="C13" i="2"/>
  <c r="O11" i="2"/>
  <c r="D22" i="2"/>
  <c r="E9" i="7"/>
  <c r="E12" i="3"/>
  <c r="C4" i="5"/>
  <c r="D4" i="5" s="1"/>
  <c r="D8" i="5" s="1"/>
  <c r="L229" i="1"/>
  <c r="L231" i="1" s="1"/>
  <c r="I231" i="1"/>
  <c r="L143" i="1"/>
  <c r="K152" i="1"/>
  <c r="L233" i="1"/>
  <c r="L235" i="1" s="1"/>
  <c r="B13" i="5" s="1"/>
  <c r="J235" i="1"/>
  <c r="L227" i="1"/>
  <c r="H236" i="1"/>
  <c r="D22" i="3"/>
  <c r="E22" i="3" s="1"/>
  <c r="C22" i="5" s="1"/>
  <c r="D22" i="5" s="1"/>
  <c r="E22" i="5" s="1"/>
  <c r="F22" i="5" s="1"/>
  <c r="G22" i="5" s="1"/>
  <c r="O14" i="3"/>
  <c r="D21" i="3" s="1"/>
  <c r="P9" i="3"/>
  <c r="P14" i="3" s="1"/>
  <c r="E16" i="5"/>
  <c r="E12" i="2" l="1"/>
  <c r="D13" i="2"/>
  <c r="C8" i="5"/>
  <c r="B12" i="5"/>
  <c r="B14" i="5" s="1"/>
  <c r="L236" i="1"/>
  <c r="L152" i="1"/>
  <c r="E4" i="5"/>
  <c r="E8" i="5" s="1"/>
  <c r="F16" i="5"/>
  <c r="D25" i="3"/>
  <c r="C21" i="5"/>
  <c r="F12" i="2" l="1"/>
  <c r="E13" i="2"/>
  <c r="E25" i="3"/>
  <c r="G16" i="5"/>
  <c r="F4" i="5"/>
  <c r="F8" i="5" s="1"/>
  <c r="G12" i="2" l="1"/>
  <c r="F13" i="2"/>
  <c r="B10" i="2"/>
  <c r="B13" i="2" s="1"/>
  <c r="B26" i="5"/>
  <c r="K227" i="1"/>
  <c r="G4" i="5"/>
  <c r="G8" i="5" s="1"/>
  <c r="D21" i="5"/>
  <c r="D25" i="5" s="1"/>
  <c r="D26" i="5" s="1"/>
  <c r="C25" i="5"/>
  <c r="C26" i="5" s="1"/>
  <c r="H12" i="2" l="1"/>
  <c r="G13" i="2"/>
  <c r="E21" i="5"/>
  <c r="E25" i="5" s="1"/>
  <c r="E26" i="5" s="1"/>
  <c r="I12" i="2" l="1"/>
  <c r="H13" i="2"/>
  <c r="F21" i="5"/>
  <c r="F25" i="5" s="1"/>
  <c r="F26" i="5" s="1"/>
  <c r="J12" i="2" l="1"/>
  <c r="I13" i="2"/>
  <c r="G21" i="5"/>
  <c r="G25" i="5" s="1"/>
  <c r="G26" i="5" s="1"/>
  <c r="B31" i="5" s="1"/>
  <c r="K12" i="2" l="1"/>
  <c r="J13" i="2"/>
  <c r="B33" i="5"/>
  <c r="B32" i="5"/>
  <c r="K141" i="1"/>
  <c r="L12" i="2" l="1"/>
  <c r="K13" i="2"/>
  <c r="L141" i="1"/>
  <c r="M12" i="2" l="1"/>
  <c r="L13" i="2"/>
  <c r="N12" i="2" l="1"/>
  <c r="M13" i="2"/>
  <c r="N13" i="2" l="1"/>
  <c r="O12" i="2"/>
  <c r="H22" i="2" l="1"/>
  <c r="O13" i="2"/>
</calcChain>
</file>

<file path=xl/comments1.xml><?xml version="1.0" encoding="utf-8"?>
<comments xmlns="http://schemas.openxmlformats.org/spreadsheetml/2006/main">
  <authors>
    <author>EFRAIN CHAFLA SAGNAY</author>
  </authors>
  <commentList>
    <comment ref="B17" authorId="0" shapeId="0">
      <text>
        <r>
          <rPr>
            <b/>
            <sz val="9"/>
            <color indexed="81"/>
            <rFont val="Tahoma"/>
            <family val="2"/>
          </rPr>
          <t xml:space="preserve">
En los casos en el que el ejecutor sea un postulante de derecho privado (organizaciones, pueblos, comunas, comunidades, fundaciones), deberá llenar ese cuadro.
</t>
        </r>
      </text>
    </comment>
    <comment ref="B18" authorId="0" shapeId="0">
      <text>
        <r>
          <rPr>
            <b/>
            <sz val="9"/>
            <color indexed="81"/>
            <rFont val="Tahoma"/>
            <family val="2"/>
          </rPr>
          <t xml:space="preserve">
Se deberá considerar la indivisibilidad de contrato que se establece en la LOSNCP.
El postulante puede solicitar un desembolso por cada línea de financiamiento que solicite.</t>
        </r>
      </text>
    </comment>
  </commentList>
</comments>
</file>

<file path=xl/comments2.xml><?xml version="1.0" encoding="utf-8"?>
<comments xmlns="http://schemas.openxmlformats.org/spreadsheetml/2006/main">
  <authors>
    <author>EFRAIN CHAFLA SAGNAY</author>
  </authors>
  <commentList>
    <comment ref="A3" authorId="0" shapeId="0">
      <text>
        <r>
          <rPr>
            <b/>
            <sz val="9"/>
            <color indexed="81"/>
            <rFont val="Tahoma"/>
            <family val="2"/>
          </rPr>
          <t>Los ingresos se deben alinear con la oferta y demanda.</t>
        </r>
      </text>
    </comment>
  </commentList>
</comments>
</file>

<file path=xl/sharedStrings.xml><?xml version="1.0" encoding="utf-8"?>
<sst xmlns="http://schemas.openxmlformats.org/spreadsheetml/2006/main" count="670" uniqueCount="445">
  <si>
    <t>TOTAL INVERSIÓN</t>
  </si>
  <si>
    <t>SGDPN</t>
  </si>
  <si>
    <t>TOTAL</t>
  </si>
  <si>
    <t>Unidad</t>
  </si>
  <si>
    <t>PRESUPUESTO</t>
  </si>
  <si>
    <t>MESES</t>
  </si>
  <si>
    <t>M1</t>
  </si>
  <si>
    <t>M2</t>
  </si>
  <si>
    <t>M3</t>
  </si>
  <si>
    <t>M4</t>
  </si>
  <si>
    <t>M5</t>
  </si>
  <si>
    <t>M6</t>
  </si>
  <si>
    <t>M7</t>
  </si>
  <si>
    <t>M8</t>
  </si>
  <si>
    <t>M9</t>
  </si>
  <si>
    <t>M10</t>
  </si>
  <si>
    <t>M11</t>
  </si>
  <si>
    <t>M12</t>
  </si>
  <si>
    <t>Mano de obra indirecta (Personal administrativo)</t>
  </si>
  <si>
    <t>#</t>
  </si>
  <si>
    <t xml:space="preserve">Cargo </t>
  </si>
  <si>
    <t>Sueldo</t>
  </si>
  <si>
    <t>Fondos de reserva 8,33%</t>
  </si>
  <si>
    <t>Décimo tercero</t>
  </si>
  <si>
    <t>Décimo cuarto</t>
  </si>
  <si>
    <t>Descuento Iess 9,45%</t>
  </si>
  <si>
    <t>Aporte patronal 11,55%</t>
  </si>
  <si>
    <t>Pago Mesuales</t>
  </si>
  <si>
    <t>Pago Anual</t>
  </si>
  <si>
    <t>Gerente General</t>
  </si>
  <si>
    <t>Contador</t>
  </si>
  <si>
    <t>Servicios públicos (agua, luz, eletricidad)</t>
  </si>
  <si>
    <t>Total</t>
  </si>
  <si>
    <t>Mano de obra directa (Personal  operativo)</t>
  </si>
  <si>
    <t>Servicio de internet/Televisión</t>
  </si>
  <si>
    <t>Técnicos en turismo</t>
  </si>
  <si>
    <t xml:space="preserve">Personal de Cocina </t>
  </si>
  <si>
    <t xml:space="preserve">Guias locales </t>
  </si>
  <si>
    <t>Personal Limpieza recepción</t>
  </si>
  <si>
    <t>Transporte</t>
  </si>
  <si>
    <t xml:space="preserve">personal de conserje </t>
  </si>
  <si>
    <t xml:space="preserve">PARAMETROS PARA LA PROYECCIÓN DE LOS INGRESOS </t>
  </si>
  <si>
    <t>Unidad de medida</t>
  </si>
  <si>
    <t>Cantidad (Por año)</t>
  </si>
  <si>
    <t>Valor Unitario</t>
  </si>
  <si>
    <t>V.TOTAL</t>
  </si>
  <si>
    <t>VALOR UNITARIO</t>
  </si>
  <si>
    <t>Pago de alquiler de ingresos a atractivo</t>
  </si>
  <si>
    <t xml:space="preserve">Mantenimiento de atractivos y de infraestructura </t>
  </si>
  <si>
    <t>Mano de obra directa</t>
  </si>
  <si>
    <t>Compra de víveres</t>
  </si>
  <si>
    <t>Año 0</t>
  </si>
  <si>
    <t>Año 1</t>
  </si>
  <si>
    <t>Año 2</t>
  </si>
  <si>
    <t>Año 3</t>
  </si>
  <si>
    <t>Año 4</t>
  </si>
  <si>
    <t>Año 5</t>
  </si>
  <si>
    <t>INGRESOS (a)</t>
  </si>
  <si>
    <t>Financiamiento SGDPN</t>
  </si>
  <si>
    <t>Financiamiento GAD</t>
  </si>
  <si>
    <t>COSTOS TOTALES DEL PROYECTO DE INVERSIÓN</t>
  </si>
  <si>
    <t>EGRESOS (b)</t>
  </si>
  <si>
    <t>Flujo de caja  (a-b)</t>
  </si>
  <si>
    <t>PARÁMETROS</t>
  </si>
  <si>
    <t>PIERDO</t>
  </si>
  <si>
    <t>NI GANO 
NI PIERDO</t>
  </si>
  <si>
    <t>GANO</t>
  </si>
  <si>
    <t>VAN</t>
  </si>
  <si>
    <t>VAN -</t>
  </si>
  <si>
    <t>VAN CERO</t>
  </si>
  <si>
    <t>VAN +</t>
  </si>
  <si>
    <t>TIR</t>
  </si>
  <si>
    <t>TIR &gt;12%</t>
  </si>
  <si>
    <t>TIR 12%</t>
  </si>
  <si>
    <t>TIR +</t>
  </si>
  <si>
    <t>B/C</t>
  </si>
  <si>
    <t xml:space="preserve">       INVERSIÓN</t>
  </si>
  <si>
    <t>Desembolso 1</t>
  </si>
  <si>
    <t>Desembolso 2</t>
  </si>
  <si>
    <t>APORTE SGDPN</t>
  </si>
  <si>
    <t>LINEA DE FINANCIAMIENTO</t>
  </si>
  <si>
    <t>LÍNEA DE FINANCIAMIENTO</t>
  </si>
  <si>
    <t xml:space="preserve">SUBTOTAL </t>
  </si>
  <si>
    <t>SUBTOTAL</t>
  </si>
  <si>
    <t xml:space="preserve">TOTAL </t>
  </si>
  <si>
    <t>CONTRAPARTES</t>
  </si>
  <si>
    <t>RUBROS DE INVERSIÓN</t>
  </si>
  <si>
    <t>DESCRIPCIÓN</t>
  </si>
  <si>
    <t>UNIDAD</t>
  </si>
  <si>
    <t>CANTIDAD</t>
  </si>
  <si>
    <t>COSTO UNITARIO</t>
  </si>
  <si>
    <t>COMUNIDAD</t>
  </si>
  <si>
    <t>ENTIDAD
EJECUTORA</t>
  </si>
  <si>
    <t>ENTIDAD EJECUTORA</t>
  </si>
  <si>
    <t>Ejemplo: Mano de obra, bienes, equipos, minga, etc</t>
  </si>
  <si>
    <t>Jornal
Unidad</t>
  </si>
  <si>
    <t>Ejemplo: Fiscalización (en el caso infraestructura), capacitaciones, etc</t>
  </si>
  <si>
    <t>SUBTOTAL  APORTE DE LA SGDPN</t>
  </si>
  <si>
    <t>SUBTOTAL COMUNIDAD</t>
  </si>
  <si>
    <t>SUBTOTAL "NOMBRE COMPLETO DE GAD"</t>
  </si>
  <si>
    <t>Ejemplo: terreno</t>
  </si>
  <si>
    <t>u</t>
  </si>
  <si>
    <t>Ejemplo: capacitación</t>
  </si>
  <si>
    <t>SUBTOTAL SGDPN</t>
  </si>
  <si>
    <t>SUBTOTAL ENTIDAD EJECUTORA</t>
  </si>
  <si>
    <t>Desembolso 3</t>
  </si>
  <si>
    <t>Desembolso 4</t>
  </si>
  <si>
    <t>Mano de obra indirecta</t>
  </si>
  <si>
    <t>PARAMETROS PARA LA PROYECCIÓN DE LOS COSTOS Y GASTOS</t>
  </si>
  <si>
    <t>Financiamiento COMUNIDAD</t>
  </si>
  <si>
    <t xml:space="preserve">COSTOS Y GASTOS </t>
  </si>
  <si>
    <t>SUBTOTAL  APORTE DE LA COMUNIDAD</t>
  </si>
  <si>
    <t>FINANCIAMIENTO</t>
  </si>
  <si>
    <t>TASA DE DESCUENTO</t>
  </si>
  <si>
    <t>DESCRIPCIÓN DE INGREGOS</t>
  </si>
  <si>
    <t>IVA</t>
  </si>
  <si>
    <t>% IVA</t>
  </si>
  <si>
    <t>TOTAL INVERSION</t>
  </si>
  <si>
    <t>INGRESOS ESTIMADOS</t>
  </si>
  <si>
    <t>Producto A</t>
  </si>
  <si>
    <t>Producto B</t>
  </si>
  <si>
    <t>Producto C</t>
  </si>
  <si>
    <t>Producto D</t>
  </si>
  <si>
    <t xml:space="preserve">DESEMBOLSOS: </t>
  </si>
  <si>
    <r>
      <rPr>
        <b/>
        <sz val="11"/>
        <color theme="1"/>
        <rFont val="Calibri"/>
        <family val="2"/>
        <scheme val="minor"/>
      </rPr>
      <t>C2.A2.1.</t>
    </r>
    <r>
      <rPr>
        <sz val="11"/>
        <color theme="1"/>
        <rFont val="Calibri"/>
        <family val="2"/>
        <scheme val="minor"/>
      </rPr>
      <t xml:space="preserve"> Fortalecimiento de la cadena de valor productiva de organizaciones de pueblos y nacionalidades, afroecuatorianos y montubios, mediante la obtención de patentes, registros sanitarios, certificaciones de buenas prácticas, propiedad intelectual, entre otros. </t>
    </r>
  </si>
  <si>
    <r>
      <rPr>
        <b/>
        <sz val="11"/>
        <color theme="1"/>
        <rFont val="Calibri"/>
        <family val="2"/>
        <scheme val="minor"/>
      </rPr>
      <t>C2.A2.2.</t>
    </r>
    <r>
      <rPr>
        <sz val="11"/>
        <color theme="1"/>
        <rFont val="Calibri"/>
        <family val="2"/>
        <scheme val="minor"/>
      </rPr>
      <t xml:space="preserve"> Fortalecimiento de la infraestructura productiva de organizaciones de pueblos y nacionalidades, afroecuatorianos y montubios</t>
    </r>
  </si>
  <si>
    <r>
      <rPr>
        <b/>
        <sz val="11"/>
        <color theme="1"/>
        <rFont val="Calibri"/>
        <family val="2"/>
        <scheme val="minor"/>
      </rPr>
      <t xml:space="preserve">C2.A2.3. </t>
    </r>
    <r>
      <rPr>
        <sz val="11"/>
        <color theme="1"/>
        <rFont val="Calibri"/>
        <family val="2"/>
        <scheme val="minor"/>
      </rPr>
      <t>Fortalecimiento a las iniciativas productivas de pueblos y nacionalidades afroecuatorianos y montubios, relacionados con la economía popular y solidaria.</t>
    </r>
  </si>
  <si>
    <r>
      <rPr>
        <b/>
        <sz val="11"/>
        <color theme="1"/>
        <rFont val="Calibri"/>
        <family val="2"/>
        <scheme val="minor"/>
      </rPr>
      <t xml:space="preserve">C2.A2.4. </t>
    </r>
    <r>
      <rPr>
        <sz val="11"/>
        <color theme="1"/>
        <rFont val="Calibri"/>
        <family val="2"/>
        <scheme val="minor"/>
      </rPr>
      <t>Fortalecimiento de iniciativas productivas comunitarias de organizaciones, pueblos y nacionalidades afroecuatorianos y montubios, mediante la dotación de insumos, materiales y equipamiento.</t>
    </r>
  </si>
  <si>
    <t>U</t>
  </si>
  <si>
    <t>CRITERIO GENERAL</t>
  </si>
  <si>
    <t>Resultado de la TIR</t>
  </si>
  <si>
    <t>Interpretación</t>
  </si>
  <si>
    <t>TIR &lt; 12%</t>
  </si>
  <si>
    <t>Proyecto NO recomendable financieramente</t>
  </si>
  <si>
    <t>TIR = 12%</t>
  </si>
  <si>
    <t>Proyecto indiferente (punto de equilibrio)</t>
  </si>
  <si>
    <t>TIR &gt; 12%</t>
  </si>
  <si>
    <t>Proyecto recomendable</t>
  </si>
  <si>
    <t>Proyecto sólido y con buen margen de seguridad</t>
  </si>
  <si>
    <t>TIR ≥ 15%–25%</t>
  </si>
  <si>
    <t>Recomendaciones para subproyectos presentados en la SGDPN</t>
  </si>
  <si>
    <t>.Si la TIR está entre 12% y 14%, justificar con fuerte impacto social.
.Si la TIR está entre 15% y 25%, el proyecto tiene buen respaldo financiero.
.Si supera 25%, es altamente rentable (aunque debe revisarse coherencia técnica financiera).</t>
  </si>
  <si>
    <t>*</t>
  </si>
  <si>
    <t>**</t>
  </si>
  <si>
    <t>Resultado B/C</t>
  </si>
  <si>
    <t>Intrepretación</t>
  </si>
  <si>
    <t>B/C &gt; 1</t>
  </si>
  <si>
    <t>Proyecto viable</t>
  </si>
  <si>
    <t>B/C = 1</t>
  </si>
  <si>
    <t>Proyecto indiferente</t>
  </si>
  <si>
    <t>B/C &lt; 1</t>
  </si>
  <si>
    <t>Proyecto no viable</t>
  </si>
  <si>
    <t>Relación C/B</t>
  </si>
  <si>
    <t>Interpretación económica</t>
  </si>
  <si>
    <t>Por cada $1 invertido, regresan $1,20</t>
  </si>
  <si>
    <t>Por cada $1 invertido, regresan $1,35</t>
  </si>
  <si>
    <t>Por cada $1 invertido, regresan $0,95 (pérdida)</t>
  </si>
  <si>
    <t>Aceptable con fuerte justificación social</t>
  </si>
  <si>
    <t>financieramente rentable</t>
  </si>
  <si>
    <t>No es rentable por lo tanto no es vible</t>
  </si>
  <si>
    <r>
      <rPr>
        <b/>
        <sz val="10"/>
        <color theme="1"/>
        <rFont val="Calibri"/>
        <family val="2"/>
        <scheme val="minor"/>
      </rPr>
      <t>Intrerpretación:</t>
    </r>
    <r>
      <rPr>
        <sz val="10"/>
        <color theme="1"/>
        <rFont val="Calibri"/>
        <family val="2"/>
        <scheme val="minor"/>
      </rPr>
      <t xml:space="preserve"> Ref. ¿Cuánto regresa por cada dólar invertido?</t>
    </r>
  </si>
  <si>
    <t>El siguiente contenido desde esta fila para abajo es unicamente para cumplimiento de criterios y no va en el subproyecto (no es necesario copiar el contenido)</t>
  </si>
  <si>
    <t>PRECIO TOTAL</t>
  </si>
  <si>
    <t>PRECIO UNITARIO</t>
  </si>
  <si>
    <t xml:space="preserve">ING. XXXXXXXXXXXXX
ELABORADO </t>
  </si>
  <si>
    <t>ESTE PRECIO INCLUYEN IVA</t>
  </si>
  <si>
    <t>IVA 15%</t>
  </si>
  <si>
    <t xml:space="preserve">DESCRIPCIÓN </t>
  </si>
  <si>
    <t>RUBRO</t>
  </si>
  <si>
    <t xml:space="preserve">PRESUPUESTO REFERENCIAL DE OBRA </t>
  </si>
  <si>
    <t>**nota aclaratoria:
CRITERIOS: Beneficio Costo, según la metodología de evaluación de inversión pública utilizada por el Estado ecuatoriano (lineamientos aplicados por la Secretaría Nacional de Planificación):</t>
  </si>
  <si>
    <t>KG</t>
  </si>
  <si>
    <t>M</t>
  </si>
  <si>
    <t>PUNTO DE AGUA FRIA PVC 1/2" ROSCABLE INC. ACCESORIOS</t>
  </si>
  <si>
    <t>PTO</t>
  </si>
  <si>
    <t xml:space="preserve">OBRAS PRELIMINARES </t>
  </si>
  <si>
    <t>CERRAMIENTO PROVISIONAL H=2.40 CON LONA VERDE Y PINGOS</t>
  </si>
  <si>
    <t>REPLANTEO Y NIVELACION CON EQUIPO TOPOGRAFICO</t>
  </si>
  <si>
    <t xml:space="preserve">DESARMADOS, DERROCAMIENTOS </t>
  </si>
  <si>
    <t>DESARMADO DE PUERTAS</t>
  </si>
  <si>
    <t>DESARMADOS DE VENTANAS</t>
  </si>
  <si>
    <t>RETIRO DE PIEZAS SANITARIAS</t>
  </si>
  <si>
    <t>ROTURA DE PISOS DE HORMIGON PARA INSTALACIONES H=10 CM</t>
  </si>
  <si>
    <t>RETIRO DE PISOS DE CERAMICA</t>
  </si>
  <si>
    <t>DERROCAMIENTO DE ESTRUCTURA EXISTENTE HORMIGON ARMADO</t>
  </si>
  <si>
    <t>DERROCAMIENTO DE MAMPOSTERIA DE  LADRILLO</t>
  </si>
  <si>
    <t>DESALOJO DE MATERIAL CON VOLQUETA CARGADA MANUAL</t>
  </si>
  <si>
    <t xml:space="preserve">ESTRUCTURA Y HORMIGONES </t>
  </si>
  <si>
    <t>CONTRAPISO H.S. F'C=180 KG/CM2 E=8CM (INC. CASCAJO E=10CM Y MALLA ELECTROSOLDADA)</t>
  </si>
  <si>
    <t>DINTEL 0.10X0.20X110M, FC=180KG/CM2</t>
  </si>
  <si>
    <t>ACERO ESTRUCTURAL A-36, MONTAJE MANUAL</t>
  </si>
  <si>
    <t>PLACAS METALICAS A-36 (35X35) CM E=8 CM</t>
  </si>
  <si>
    <t>CUBIERTA DE PVC TIPO TEJA  E=40MM</t>
  </si>
  <si>
    <t>CUMBRERO DE PVC TIPO TEJA</t>
  </si>
  <si>
    <t xml:space="preserve">ALBAÑILERIA </t>
  </si>
  <si>
    <t>MAMPOSTERIA DE LADRILLO MAMBROM 17X09X37CM</t>
  </si>
  <si>
    <t>MESA COCINA HORMIGON ARMADO ENCOFRADO A=0.50M</t>
  </si>
  <si>
    <t>PICADO Y RESANE EN PARED (SIN ENLUCIR) PARA INSTALACIONES</t>
  </si>
  <si>
    <t>ENLUCIDO VERTICAL INTERIOR, PALETEADO FINO</t>
  </si>
  <si>
    <t>ENLUCIDO VERTICAL LISO EXTERIOR CON IMPERMEABILIZANTE</t>
  </si>
  <si>
    <t>MASILLADO ALISADO DE PISO, MORTERO 1:3, E=1CM</t>
  </si>
  <si>
    <t>REPISA DE HORMIGON ARMADO ENCOFRADO A=0.50M</t>
  </si>
  <si>
    <t>BANCA DE HORMIGON ARMADO ENCOFRADO A=0.55M</t>
  </si>
  <si>
    <t>TANQUE DE LAVAR</t>
  </si>
  <si>
    <t xml:space="preserve">RECUBRIMIENTOS </t>
  </si>
  <si>
    <t>EMPASTE INTERIOR</t>
  </si>
  <si>
    <t>EMPASTE EXTERIOR</t>
  </si>
  <si>
    <t>PINTURA SATINADA INTERIOR</t>
  </si>
  <si>
    <t>PINTURA SATINADA INTERIOR (3 MANOS) ESTILO LIMEWASH</t>
  </si>
  <si>
    <t>PORCELANATO PARA MESON TRAVENTINO (MESON - COCINA)</t>
  </si>
  <si>
    <t>REVESTIMIENTO CONTINUO PARA PAREDES INTERIORES</t>
  </si>
  <si>
    <t>PORCELANATO DECORATIVO (PARED BAJO EL MESON DE COCINA)</t>
  </si>
  <si>
    <t>PORCELANATO TIPO PIEDRA GRIS PARA BAÑOS</t>
  </si>
  <si>
    <t>PANEL DE PVC ANTIHUMEDAD EFECTO MADERA</t>
  </si>
  <si>
    <t>PORCELANATO TIPO MADERA DE 0.20X1.20 M (PISOS DE CAFETERIA)</t>
  </si>
  <si>
    <t>PORCELANATO TIPO PIEDRA GREY (PISOS DE BAÑOS)</t>
  </si>
  <si>
    <t>PISOS HDF COLOR MARRÓN PARA DOMITORIOS</t>
  </si>
  <si>
    <t>PORCELANATO TIPO CONCRETO ( PISOS DE COCINA, BODEGA Y LAVADO)</t>
  </si>
  <si>
    <t>REVESTIMIENTO DE MADERA COLOR MARRÓN RUSTICA PARA RESTAURANTE</t>
  </si>
  <si>
    <t>BARREDERA DE SEIKE LACADA H=6CM</t>
  </si>
  <si>
    <t>FACHADA DE PIEDRA DECORATIVA</t>
  </si>
  <si>
    <t xml:space="preserve">CARPINTERIA </t>
  </si>
  <si>
    <t>CORTINA DE BAÑO VIDRIO TEMPLADO</t>
  </si>
  <si>
    <t>MAMPARA DE VIDRIO LAMINADO 6MM, ALUMINIO NATURAL NEGRO</t>
  </si>
  <si>
    <t>MAMPARA DE VIDRIO TEMPLADO 10MM, ALUMINIO NATURAL NEGRO</t>
  </si>
  <si>
    <t>PASAMANOS DE ACERO INOXIDABLE 2" Y VIDRIO TEMPLADO 10MM</t>
  </si>
  <si>
    <t>PUERTA DE VIDRIO TEMPLADO 10MM</t>
  </si>
  <si>
    <t>VENTANA CORREDIZA DE ALUMINIO NEGRO Y VIDRIO FLOTADO 6MM</t>
  </si>
  <si>
    <t>PUERTA METALICA Y ESTERILLA (2.10X0.90)M, INC. CERRADURA</t>
  </si>
  <si>
    <t>PUERTA METALICA Y ESTERILLA (2.10X0.70)M, INC. CERRADURA</t>
  </si>
  <si>
    <t>CLOSET DE MADERA CONTRACHAPADA</t>
  </si>
  <si>
    <t>MESON DE COCINA INCLUYE  MUEBLE BAJO DE ACERO INOXIDABLE</t>
  </si>
  <si>
    <t>MUEBLE ALTO DE COCINA EN AGLOMERADO MELAMINICO E=15MM</t>
  </si>
  <si>
    <t>PERGOLA DE ACERO, MADERA Y VIDRIO LAMINADO 8MM</t>
  </si>
  <si>
    <t>MESA CENTRAL DE MADERA PARA CAFETERIA, INC. FIJACION A TECHO</t>
  </si>
  <si>
    <t>CLOSET EXHIBIDOR</t>
  </si>
  <si>
    <t>TABIQUERIA DE MADERA Y ESTERILLA PARA DORMITORIO</t>
  </si>
  <si>
    <t>MASETEROS DE MADERA</t>
  </si>
  <si>
    <t>ROTULO CON PERFILES DE ACERO Y MALLA ELECTROSOLDADA</t>
  </si>
  <si>
    <t>LOGO Y LETRAS DE ACERO "NINA WARMI"</t>
  </si>
  <si>
    <t xml:space="preserve">CIELO RASO </t>
  </si>
  <si>
    <t>CIELO RASO DE MADERA  Y SACOS DE YUTE</t>
  </si>
  <si>
    <t>CIELO RASO GYPSUM 1/2", INC. EMPASTE Y PINTURA</t>
  </si>
  <si>
    <t>CIELO RASO GYPSUM DE ANTIHUMEDAD 1/2" INC. EMPASTE Y PINTURA</t>
  </si>
  <si>
    <t>VIGAS DE PVC ACABADO TIPO MADERA 5.70X0.20M</t>
  </si>
  <si>
    <t xml:space="preserve">INSTALACIONES DE AGUA POTABLE </t>
  </si>
  <si>
    <t>PUNTO DE AGUA CALIENTE PVC 1/2" ROSCABLE INC. ACCESORIOS</t>
  </si>
  <si>
    <t>TUBERIA PVC 1/2" ROSACABLE AGUA CALIENTE INC. ACCESORIOS</t>
  </si>
  <si>
    <t>TUBERIA PVC 1/2" ROSACABLE AGUA FRIA INC. ACCESORIOS</t>
  </si>
  <si>
    <t>CALEFON A GAS 28 LITROS INSTALADO</t>
  </si>
  <si>
    <t>LLAVE DE PASO 1/2"</t>
  </si>
  <si>
    <t>VALVULA CHECK 1/2" TIPO RW</t>
  </si>
  <si>
    <t xml:space="preserve">INSTALACIONES SANITARIAS </t>
  </si>
  <si>
    <t>CANALIZACION TUBERIA PVC 50 MM</t>
  </si>
  <si>
    <t>CANALIZACION TUBERIA PVC 75MM</t>
  </si>
  <si>
    <t>CANALIZACION TUBERIA PVC 110MM</t>
  </si>
  <si>
    <t>PUNTO DE DESAGUE DE PVC 50MM, INC. ACCESORIOS</t>
  </si>
  <si>
    <t>PUNTO DE DESAGUE DE PVC 75MM, INC. ACCESORIOS</t>
  </si>
  <si>
    <t>PUNTO DE DESAGUE DE PVC 110MM, INC. ACCESORIOS</t>
  </si>
  <si>
    <t>TUBO VENTILACION 75MM</t>
  </si>
  <si>
    <t>BAJANTES DE AGUAS LLUVIAS 110MM. UNION CODO - INSTALACION</t>
  </si>
  <si>
    <t>CANAL RECOLECTO DE AGUAS LLUVIAS 110MM</t>
  </si>
  <si>
    <t>REJILLA DE PISO 50 MM - CROMADA</t>
  </si>
  <si>
    <t>REJILLA DE PISO 75 MM - ALUMINIO</t>
  </si>
  <si>
    <t>61</t>
  </si>
  <si>
    <t xml:space="preserve">GRIFERIA Y APARATOS SANITARIOS </t>
  </si>
  <si>
    <t>DUCHA CON MEZCLADORA (INSTALACION)</t>
  </si>
  <si>
    <t>INODORO NEGRO - INSTALACION</t>
  </si>
  <si>
    <t>JUEGO DE ACCESORIOS DE BAÑO - INSTALACION</t>
  </si>
  <si>
    <t>LAVAMANOS DE BRONCE SEGÚN DISEÑO - INSTALACION</t>
  </si>
  <si>
    <t>JUEGO DE GRIFERIA PARA LAVAMANOS - INSTALACION</t>
  </si>
  <si>
    <t>MEZCLADORA PARA LAVAMANOS - INSTALACION</t>
  </si>
  <si>
    <t>LAVAPLATOS 2 POZOS, GRIFERIA - INSTALACION</t>
  </si>
  <si>
    <t>MEZCLADORA PARA FREGADERO  - INSTALACION</t>
  </si>
  <si>
    <t>ACCESORIOS PARA BAÑO</t>
  </si>
  <si>
    <t xml:space="preserve">INSTALACIONES ELECTRICAS </t>
  </si>
  <si>
    <t>SALIDA DE ILUMINACION CONMUTADA</t>
  </si>
  <si>
    <t>SALIDA DE ILUMINACION, SIN APLIQUE</t>
  </si>
  <si>
    <t>SALIDA DE TOMACORRIENTE DOCLE 110V</t>
  </si>
  <si>
    <t>SALIDA INTERRUPTOR CONMUTADO - APLIQUE</t>
  </si>
  <si>
    <t>SALIDA INTERRUPTOR DOBLE - APLIQUE</t>
  </si>
  <si>
    <t>SALIDA INTERRUPTOR SIMPLE - APLIQUE</t>
  </si>
  <si>
    <t>SALIDA ESPECIALES CONDUCTOR 10 AWG - LAVADORAS</t>
  </si>
  <si>
    <t>BREAKER 2 POLOS 32 AMP</t>
  </si>
  <si>
    <t>CAJA DE DISTRIBUCION - CENTRO DE CARGA 6 PUNTOS</t>
  </si>
  <si>
    <t>SUMINISTRO Y COLOCACION DE PERFIL LUMINICO</t>
  </si>
  <si>
    <t>LAMPARA COLGANTE CONO DE MADERA NATURAL</t>
  </si>
  <si>
    <t>LAMPARA COLGANTE WOODY</t>
  </si>
  <si>
    <t>PANEL LED REDONDO 24W DE ESTRUCTURA METALICA BLANCA PARA SOBREPONER</t>
  </si>
  <si>
    <t>LIMPIEZA FINAL DE LA OBRA</t>
  </si>
  <si>
    <t>65</t>
  </si>
  <si>
    <t>REGISTRO SANITARIO DE LECHE</t>
  </si>
  <si>
    <t>CERTIFICACION BPM</t>
  </si>
  <si>
    <t xml:space="preserve">MOBILIARIO PARA HABITACIONES DE TURISTAS  </t>
  </si>
  <si>
    <t xml:space="preserve">CAMA  RUSTICAS DE PINO DE 1.5 PLAZAS </t>
  </si>
  <si>
    <t>CAMA RUSTICA DE PINO DE 2 PLAZAS</t>
  </si>
  <si>
    <t>COBIJAS TERMICAS  DE 1.5 PLAZAS (BLANCA, AZUL, BEIG)</t>
  </si>
  <si>
    <t>COBIJAS TERMICAS DE  2.0 PLAZAS (BLANCA, AZUL, BEIG)</t>
  </si>
  <si>
    <t>COLCHON 1.5 PLAZAS</t>
  </si>
  <si>
    <t>COLCHON 2  PLAZAS</t>
  </si>
  <si>
    <t>COBERTORES SHERPA DE 2 PLAZAS (BLANCO - AZUL, BEIG)</t>
  </si>
  <si>
    <t>COBERTORES SHERPA DE 1.5 PLAZAS (BLANCO - AZUL, BEIG)</t>
  </si>
  <si>
    <t>JUEGO DE SABANAS DE 144 HILOS, 2 PLAZAS BLANCAS (BLANCAS, AZUL, BEIG)</t>
  </si>
  <si>
    <t>JUEGO DE SABANAS DE 144 HILOS, 1.5 PLAZAS BLANCAS (BLANCAS, AZUL, BEIG)</t>
  </si>
  <si>
    <t>ALMOHADAS AQUACOOL GEL  60 X 40</t>
  </si>
  <si>
    <t>ALFOMBRA PARA INTERIOR RESISTETE AL DESGASTE, FACIL DE LIMPIAR, TEJIDO A MAQUINA 140X200 CM</t>
  </si>
  <si>
    <t>CALEFACTOR ELECTRICO INFRAROJO 24X85X16 CM PARA PARED</t>
  </si>
  <si>
    <t>SMART TV 50" 4K UHD</t>
  </si>
  <si>
    <t>SILLÓN GRIGNOON</t>
  </si>
  <si>
    <t>VELADOR 2 GAVETAS</t>
  </si>
  <si>
    <t>TOALLAS BLANCA PARA MANOS</t>
  </si>
  <si>
    <t xml:space="preserve">TOALLAS PARA CUERPO BLANCAS </t>
  </si>
  <si>
    <t xml:space="preserve">TOALLAS PARA PIE </t>
  </si>
  <si>
    <t>EQUIPAMIENTO AREA DE LA COCINA</t>
  </si>
  <si>
    <t>SET MESAS AUXILIARES INDUSTRIALES 2PZS 60X60</t>
  </si>
  <si>
    <t>PERCHERO MULTIUSO DE ACERO COLOR NEGRO DE 6 GANCHOS CADA 10CM</t>
  </si>
  <si>
    <t>CUADRO ABSTRACTO</t>
  </si>
  <si>
    <t>CESTA DE FIBRAS</t>
  </si>
  <si>
    <t>ORGANIZADOR MULTIUSO TRANSPARENTE TIPO 1</t>
  </si>
  <si>
    <t>ORGANIZADOR MULTIUSO TRANSPARENTE TIPO 2</t>
  </si>
  <si>
    <t>ORGANIZADOR MULTIUSO TRANSPARENTE TIPO 3</t>
  </si>
  <si>
    <t>JARRA TERMO VARIOS COLORES YN1700330</t>
  </si>
  <si>
    <t>BOWL BAMBOO NATURAL I</t>
  </si>
  <si>
    <t xml:space="preserve">INDIVIDUAL DECORATIVO REDONDO </t>
  </si>
  <si>
    <t>JARRO HIERRO ENLOZADO SENA IB</t>
  </si>
  <si>
    <t>TETERA CONICA BLANCA</t>
  </si>
  <si>
    <t>Set Ollas de Presión Umco X2 (10LT)</t>
  </si>
  <si>
    <t>PAILA RECORTADA UMCO</t>
  </si>
  <si>
    <t>EXPRIMIDOR DE CÍTRICOS DE PALANCA UMCO 130 W</t>
  </si>
  <si>
    <t>OLLA BORDEADA PROFESSIONAL  UMCO 32CM</t>
  </si>
  <si>
    <t>DISPENSADOR DE CAFÉ UMCO 1000 W</t>
  </si>
  <si>
    <t>LECHERO ACERO INOXIDABLE UMCO 5L</t>
  </si>
  <si>
    <t>Maquina para café expresso, capuchinos capacidad para 100 tazas y molino para café</t>
  </si>
  <si>
    <t>CAMPANA 2.20X1X70 PARA COCINA DE TOL DE INOX INCLUYE CANAL DE DESFOGUE</t>
  </si>
  <si>
    <t>COCINA INDUSTRIAL  INOX 150X50X90 CM (8 QUEMADORES)</t>
  </si>
  <si>
    <t>FRIGOBAR 84X48X44CM 91LTS</t>
  </si>
  <si>
    <t>JARRA DE VIDRIO 1000 ML</t>
  </si>
  <si>
    <t>JARRA DE VIDRIO 2000 ML</t>
  </si>
  <si>
    <t>JARRA DE VIDRIO 500 ML</t>
  </si>
  <si>
    <t>JARRA TERMICA 700 ML</t>
  </si>
  <si>
    <t>JUEGO DE 4 VASOS DE VIDRIO 210ML</t>
  </si>
  <si>
    <t>C</t>
  </si>
  <si>
    <t>JUEGO DE 6 VASOS DE VIDRIO 405ML</t>
  </si>
  <si>
    <t>JUEGO DE CUBIERTOS DE 24 PIEZAS COLOR PLATA</t>
  </si>
  <si>
    <t>JUEGO DE TAZA TIPO JARRON Y PLATO DE CERAMICA COLOR BLANCO (MESTIZA)</t>
  </si>
  <si>
    <t>JUEGO DE VAJILLA DE CERAMICA COLOR BLANCO (MESTIZA)</t>
  </si>
  <si>
    <t>G</t>
  </si>
  <si>
    <t>JUEGO DE VAJILLA DE CERAMICA COLOR ROJO (MESTIZA)</t>
  </si>
  <si>
    <t>CONGELADOR VERTICAL  CAPACIDAD DE 800LT</t>
  </si>
  <si>
    <t>LICUADORA  DE 2LT</t>
  </si>
  <si>
    <t xml:space="preserve">ARTICULOS MENORES PARA COCINA </t>
  </si>
  <si>
    <t>SET DE 3 CUCHILLOS CON CIERRA PARA CARNE</t>
  </si>
  <si>
    <t>IMPLEMENTACION AREA DEL COMEDOR</t>
  </si>
  <si>
    <t xml:space="preserve">MESA DE COMEDOR 1X1M </t>
  </si>
  <si>
    <t>SILLA TULIP COLOR DE MADERA MATE CON APOYA BRAZOS Y SOGUILLA TEJIDA</t>
  </si>
  <si>
    <t xml:space="preserve">CONGELADOR VERTICAL DE 419 LITROS </t>
  </si>
  <si>
    <t>COJIN</t>
  </si>
  <si>
    <t>CALEFACTOR A GAS TIPO TORRE H=1.80 M, TRITON</t>
  </si>
  <si>
    <t>IMPLEMENTACION AREA DE LAVADO EN SECO</t>
  </si>
  <si>
    <t>LAVADORA CARGA FRONTAL 50 LB</t>
  </si>
  <si>
    <t>SECADORA A GAS FRONTAL 37 CICLOS 50 LB</t>
  </si>
  <si>
    <t>m2</t>
  </si>
  <si>
    <t>*Nota aclaratoria:
CRITERIOS:
La TIR debe ser mayor al 12% para que el subproyecto sea financieramente viable.
En subproyectos sociales impulsados por el Estado ecuatoriano (como la Secretaría de Gestión y Desarrollo de Pueblos y Nacionalidades), una TIR entre 14% y 25% se considera técnicamente adecuada, siempre que también cumpla viabilidad social, ambiental y legal.</t>
  </si>
  <si>
    <r>
      <rPr>
        <b/>
        <sz val="10"/>
        <color theme="1"/>
        <rFont val="Arial"/>
        <family val="2"/>
      </rPr>
      <t>NOTA:</t>
    </r>
    <r>
      <rPr>
        <sz val="10"/>
        <color theme="1"/>
        <rFont val="Arial"/>
        <family val="2"/>
      </rPr>
      <t xml:space="preserve"> El formato puede elaborarse en cualquier programa, siempre y cuando se respete estrictamente el esquema establecido. Se adjunta un archivo que puede utilizarse como apoyo para la elaboración de estos formatos; sin embargo, su uso no es obligatorio.</t>
    </r>
  </si>
  <si>
    <t>1. MATRIZ DE INVERSIÓN</t>
  </si>
  <si>
    <t>2. RESUMEN DE INVERSIÓN POR LINEA DE FINANCIAMIENTO</t>
  </si>
  <si>
    <t>3. CRONOGRAMA VALORADO DE ACTIVIDADES</t>
  </si>
  <si>
    <t>3.1 DESEMBOLSOS</t>
  </si>
  <si>
    <t>4. PROYECCIÓN DE INGRESOS - COSTO DE OPERACIONES</t>
  </si>
  <si>
    <t>5. MATRIZ DE ANÁLISIS FINANCIERO</t>
  </si>
  <si>
    <t>6. FORMATO DE PRESUPUESTO REFERENCIAL DE OBRA</t>
  </si>
  <si>
    <t>ELABORADO</t>
  </si>
  <si>
    <t>ING. XXXXXXXXXXX</t>
  </si>
  <si>
    <t>________________________</t>
  </si>
  <si>
    <t>AVANCE ACUMULADO EN %</t>
  </si>
  <si>
    <t>INVERSIÓN ACUMULADA</t>
  </si>
  <si>
    <t>AVANCE PARCIAL EN %</t>
  </si>
  <si>
    <t>INVERSIÓN MENSUAL</t>
  </si>
  <si>
    <t>5to MES</t>
  </si>
  <si>
    <t>4rto MES</t>
  </si>
  <si>
    <t>3er MES</t>
  </si>
  <si>
    <t>2do MES</t>
  </si>
  <si>
    <t>1er MES</t>
  </si>
  <si>
    <t xml:space="preserve">PRECIO TOTAL
</t>
  </si>
  <si>
    <t xml:space="preserve">PRECIO UNITARIO
</t>
  </si>
  <si>
    <t xml:space="preserve">CANTIDAD
</t>
  </si>
  <si>
    <t>CRONOGRAMA VALORADO DE TRABAJO</t>
  </si>
  <si>
    <t>Elaborado</t>
  </si>
  <si>
    <t>ING. XXXXX</t>
  </si>
  <si>
    <t>ESTOS PRECIOS NO INCLUYEN IVA</t>
  </si>
  <si>
    <t>SON: UN DOLAR, 80/100 CENTAVOS</t>
  </si>
  <si>
    <t>COSTO TOTAL DEL RUBRO</t>
  </si>
  <si>
    <t>UTILIDAD (%)</t>
  </si>
  <si>
    <t>INDIRECTOS (%)</t>
  </si>
  <si>
    <t>TOTAL COSTO DIRECTO (M+N+O+P)</t>
  </si>
  <si>
    <t>K482-721371</t>
  </si>
  <si>
    <t>SUBTOTAL P</t>
  </si>
  <si>
    <t>C=AxB</t>
  </si>
  <si>
    <t>B</t>
  </si>
  <si>
    <t>A</t>
  </si>
  <si>
    <t>DESCRICIÓN</t>
  </si>
  <si>
    <t>COSTO</t>
  </si>
  <si>
    <t>PRECIO UNIT</t>
  </si>
  <si>
    <t>TRANSPORTE</t>
  </si>
  <si>
    <t>SUBTOTAL O</t>
  </si>
  <si>
    <t>MATERIALES</t>
  </si>
  <si>
    <t>SUBTOTAL N</t>
  </si>
  <si>
    <t>Peón</t>
  </si>
  <si>
    <t>Mestro de obra</t>
  </si>
  <si>
    <t>D=CxR</t>
  </si>
  <si>
    <t>R</t>
  </si>
  <si>
    <t>RENDIMIENTO</t>
  </si>
  <si>
    <t>COSTO HORA</t>
  </si>
  <si>
    <t>JORNADA / HR</t>
  </si>
  <si>
    <t>MANO DE OBRA</t>
  </si>
  <si>
    <t>SUBTOTAL M</t>
  </si>
  <si>
    <t>Herramienta menor (5% M.O)</t>
  </si>
  <si>
    <t>TARIFA</t>
  </si>
  <si>
    <t>EQUIPO</t>
  </si>
  <si>
    <t>VI108</t>
  </si>
  <si>
    <r>
      <t xml:space="preserve">DETALLE : </t>
    </r>
    <r>
      <rPr>
        <sz val="9"/>
        <rFont val="Calibri"/>
        <family val="2"/>
        <scheme val="minor"/>
      </rPr>
      <t>*Descripción del rubro (Debe ser el mismo nombre del presupuesto referencial)</t>
    </r>
  </si>
  <si>
    <t>*Unidad de medida del rubro *</t>
  </si>
  <si>
    <t xml:space="preserve">UNIDAD: </t>
  </si>
  <si>
    <r>
      <rPr>
        <b/>
        <sz val="9"/>
        <rFont val="Calibri"/>
        <family val="2"/>
        <scheme val="minor"/>
      </rPr>
      <t>RUBRO  :</t>
    </r>
    <r>
      <rPr>
        <sz val="9"/>
        <rFont val="Calibri"/>
        <family val="2"/>
        <scheme val="minor"/>
      </rPr>
      <t xml:space="preserve">    *Numero de rubro</t>
    </r>
  </si>
  <si>
    <t>HOJA (Número  de hoja) DE (Total de número de hojas)</t>
  </si>
  <si>
    <t>NOMBRE DEL POSTULANTE</t>
  </si>
  <si>
    <t>SUBPROYECTO: "NOMBRE DEL SUBPROYECTO XYZ"</t>
  </si>
  <si>
    <t xml:space="preserve">NOTA: El formato puede elaborarse en cualquier programa, siempre y cuando se respete estrictamente el esquema establecido. Se adjunta un archivo que puede utilizarse como apoyo para la elaboración de estos formatos; sin embargo, su uso no es obligatorio.
Para la determinación del costo de la mano de obra en el presente formato de Análisis de Precios Unitarios, se recomienda considerar como referencia el salario básico unificado mínimo vigente por ley para el año 2026, conforme a la normativa laboral aplicable.
Los APUS, si son mas de 2, contendrán una sola firma en el APU final. </t>
  </si>
  <si>
    <t>NOTA: El formato puede elaborarse en cualquier programa, siempre y cuando se respete estrictamente el esquema establecido. Se adjunta un archivo que puede utilizarse como apoyo para la elaboración de estos formatos; sin embargo, su uso no es obligatorio.</t>
  </si>
  <si>
    <t xml:space="preserve">Rubros de contratación del personal </t>
  </si>
  <si>
    <t>8. ANÁLISIS DE PRECIOS UNITARIOS</t>
  </si>
  <si>
    <t>PAREDES</t>
  </si>
  <si>
    <t>PLANTAS DE CACAO VARIEDAD FINO DE AROMA</t>
  </si>
  <si>
    <t>CERDO MEISHAN</t>
  </si>
  <si>
    <t>GABETAS PLÁSTICAS DE ALMACENAJE</t>
  </si>
  <si>
    <t>Profesional 2 por fatura</t>
  </si>
  <si>
    <t>Profesional 1 por factura</t>
  </si>
  <si>
    <t>43</t>
  </si>
  <si>
    <t>72</t>
  </si>
  <si>
    <t>SON: El monto total es de XXXXX con XX/100 Dólares de los Estados Unidos de Norte América. *El formato sera en palabras, xx/100 representa los centavos, ejemplo: TREINTA Y DOS CON 32/100 DOLARES DE LOS ESTADOS UNIDOS DE NORTE AMÉRICA.</t>
  </si>
  <si>
    <t>7. CRONOGRAMA VALORADO DE TRABAJO</t>
  </si>
  <si>
    <t>Ciudad, dd/mm/aaaa</t>
  </si>
  <si>
    <t>Ciudad y fecha: (dd/mm/aaaa)</t>
  </si>
  <si>
    <t>Rubro contratación fiscalización externa</t>
  </si>
  <si>
    <t>Profesional experiencia en construción de obras civiles en general (5% de obra de construcción) valor incluido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</si>
</sst>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4" formatCode="_ &quot;$&quot;* #,##0.00_ ;_ &quot;$&quot;* \-#,##0.00_ ;_ &quot;$&quot;* &quot;-&quot;??_ ;_ @_ "/>
    <numFmt numFmtId="43" formatCode="_ * #,##0.00_ ;_ * \-#,##0.00_ ;_ * &quot;-&quot;??_ ;_ @_ "/>
    <numFmt numFmtId="164" formatCode="_(* #,##0.00_);_(* \(#,##0.00\);_(* &quot;-&quot;??_);_(@_)"/>
    <numFmt numFmtId="165" formatCode="_(&quot;$&quot;\ * #,##0.00_);_(&quot;$&quot;\ * \(#,##0.00\);_(&quot;$&quot;\ * &quot;-&quot;??_);_(@_)"/>
    <numFmt numFmtId="166" formatCode="0.0%"/>
    <numFmt numFmtId="167" formatCode="_ * #,##0.00_ ;_ * \-#,##0.00_ ;_ * &quot;-&quot;_ ;_ @_ "/>
    <numFmt numFmtId="168" formatCode="_ * #,##0_ ;_ * \-#,##0_ ;_ * &quot;-&quot;??_ ;_ @_ "/>
    <numFmt numFmtId="169" formatCode="_ &quot;$&quot;* #,##0.000_ ;_ &quot;$&quot;* \-#,##0.000_ ;_ &quot;$&quot;* &quot;-&quot;??_ ;_ @_ "/>
    <numFmt numFmtId="170" formatCode="_ &quot;$&quot;* #,##0.0000_ ;_ &quot;$&quot;* \-#,##0.0000_ ;_ &quot;$&quot;* &quot;-&quot;??_ ;_ @_ "/>
    <numFmt numFmtId="171" formatCode="_ &quot;$&quot;* #,##0.000000000_ ;_ &quot;$&quot;* \-#,##0.000000000_ ;_ &quot;$&quot;* &quot;-&quot;??_ ;_ @_ "/>
    <numFmt numFmtId="172" formatCode="_ &quot;$&quot;* #,##0.00000000000_ ;_ &quot;$&quot;* \-#,##0.00000000000_ ;_ &quot;$&quot;* &quot;-&quot;??_ ;_ @_ "/>
    <numFmt numFmtId="173" formatCode="&quot;$&quot;#,##0.00"/>
    <numFmt numFmtId="174" formatCode="###,###,##0.00"/>
    <numFmt numFmtId="175" formatCode="###,##0.00"/>
    <numFmt numFmtId="176" formatCode="#,###,##0.00"/>
    <numFmt numFmtId="177" formatCode="###,##0"/>
    <numFmt numFmtId="178" formatCode="#,###,##0"/>
    <numFmt numFmtId="179" formatCode="_ &quot;$&quot;* #,##0.00000_ ;_ &quot;$&quot;* \-#,##0.00000_ ;_ &quot;$&quot;* &quot;-&quot;??_ ;_ @_ "/>
    <numFmt numFmtId="180" formatCode="###,##0.00%"/>
    <numFmt numFmtId="181" formatCode="###,##0.000"/>
    <numFmt numFmtId="182" formatCode="###,##0.0"/>
  </numFmts>
  <fonts count="6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8"/>
      <color theme="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1"/>
      <color rgb="FF000000"/>
      <name val="Calibri"/>
      <family val="2"/>
      <scheme val="minor"/>
    </font>
    <font>
      <b/>
      <sz val="11"/>
      <name val="Calibri"/>
      <family val="2"/>
      <scheme val="minor"/>
    </font>
    <font>
      <b/>
      <sz val="14"/>
      <name val="Calibri"/>
      <family val="2"/>
      <scheme val="minor"/>
    </font>
    <font>
      <sz val="9"/>
      <color theme="1"/>
      <name val="Calibri"/>
      <family val="2"/>
      <scheme val="minor"/>
    </font>
    <font>
      <sz val="11"/>
      <color theme="1"/>
      <name val="Calibri"/>
      <family val="2"/>
      <scheme val="minor"/>
    </font>
    <font>
      <b/>
      <sz val="11"/>
      <color rgb="FF000000"/>
      <name val="Calibri"/>
      <family val="2"/>
      <scheme val="minor"/>
    </font>
    <font>
      <b/>
      <i/>
      <sz val="11"/>
      <color rgb="FF000000"/>
      <name val="Calibri"/>
      <family val="2"/>
      <scheme val="minor"/>
    </font>
    <font>
      <b/>
      <sz val="8"/>
      <color theme="1"/>
      <name val="Calibri"/>
      <family val="2"/>
      <scheme val="minor"/>
    </font>
    <font>
      <b/>
      <sz val="12"/>
      <color theme="1"/>
      <name val="Calibri"/>
      <family val="2"/>
      <scheme val="minor"/>
    </font>
    <font>
      <b/>
      <sz val="10"/>
      <name val="Calibri"/>
      <family val="2"/>
      <scheme val="minor"/>
    </font>
    <font>
      <b/>
      <sz val="12"/>
      <name val="Calibri"/>
      <family val="2"/>
      <scheme val="minor"/>
    </font>
    <font>
      <b/>
      <sz val="9"/>
      <name val="Calibri"/>
      <family val="2"/>
      <scheme val="minor"/>
    </font>
    <font>
      <sz val="8"/>
      <name val="Calibri"/>
      <family val="2"/>
      <scheme val="minor"/>
    </font>
    <font>
      <b/>
      <sz val="8"/>
      <name val="Calibri"/>
      <family val="2"/>
      <scheme val="minor"/>
    </font>
    <font>
      <sz val="8"/>
      <color rgb="FF1D1B11"/>
      <name val="Calibri"/>
      <family val="2"/>
      <scheme val="minor"/>
    </font>
    <font>
      <b/>
      <sz val="9"/>
      <color indexed="81"/>
      <name val="Tahoma"/>
      <family val="2"/>
    </font>
    <font>
      <b/>
      <sz val="10"/>
      <color rgb="FFFF6600"/>
      <name val="Calibri"/>
      <family val="2"/>
      <scheme val="minor"/>
    </font>
    <font>
      <sz val="10"/>
      <color rgb="FFFF0000"/>
      <name val="Calibri"/>
      <family val="2"/>
      <scheme val="minor"/>
    </font>
    <font>
      <sz val="12"/>
      <name val="Calibri"/>
      <family val="2"/>
      <scheme val="minor"/>
    </font>
    <font>
      <sz val="8"/>
      <name val="Calibri"/>
      <family val="2"/>
      <scheme val="minor"/>
    </font>
    <font>
      <b/>
      <sz val="14"/>
      <color rgb="FF000000"/>
      <name val="Calibri"/>
      <family val="2"/>
      <scheme val="minor"/>
    </font>
    <font>
      <sz val="11"/>
      <color theme="0"/>
      <name val="Calibri"/>
      <family val="2"/>
      <scheme val="minor"/>
    </font>
    <font>
      <b/>
      <sz val="11"/>
      <color theme="0"/>
      <name val="Calibri"/>
      <family val="2"/>
      <scheme val="minor"/>
    </font>
    <font>
      <b/>
      <sz val="10"/>
      <color theme="1"/>
      <name val="Arial"/>
      <family val="2"/>
    </font>
    <font>
      <sz val="10"/>
      <color theme="1"/>
      <name val="Arial"/>
      <family val="2"/>
    </font>
    <font>
      <sz val="10"/>
      <color rgb="FF000000"/>
      <name val="Arial"/>
      <family val="2"/>
    </font>
    <font>
      <sz val="10"/>
      <name val="Arial"/>
      <family val="2"/>
    </font>
    <font>
      <b/>
      <sz val="12"/>
      <color theme="1"/>
      <name val="Arial"/>
      <family val="2"/>
    </font>
    <font>
      <sz val="11"/>
      <color indexed="8"/>
      <name val="Calibri"/>
      <family val="2"/>
    </font>
    <font>
      <sz val="10"/>
      <name val="Calibri"/>
      <family val="2"/>
      <scheme val="minor"/>
    </font>
    <font>
      <sz val="9"/>
      <name val="Calibri"/>
      <family val="2"/>
      <scheme val="minor"/>
    </font>
    <font>
      <b/>
      <i/>
      <sz val="9"/>
      <color theme="1"/>
      <name val="Arial"/>
      <family val="2"/>
    </font>
    <font>
      <sz val="10"/>
      <color theme="1"/>
      <name val="Calibri Light"/>
      <family val="2"/>
      <scheme val="major"/>
    </font>
    <font>
      <sz val="10"/>
      <name val="Calibri Light"/>
      <family val="2"/>
      <scheme val="major"/>
    </font>
    <font>
      <b/>
      <sz val="10"/>
      <name val="Calibri Light"/>
      <family val="2"/>
      <scheme val="major"/>
    </font>
    <font>
      <b/>
      <sz val="10"/>
      <color theme="1"/>
      <name val="Calibri Light"/>
      <family val="2"/>
      <scheme val="major"/>
    </font>
    <font>
      <sz val="9"/>
      <name val="Calibri Light"/>
      <family val="2"/>
      <scheme val="major"/>
    </font>
    <font>
      <b/>
      <sz val="14"/>
      <color theme="1"/>
      <name val="Calibri"/>
      <family val="2"/>
      <scheme val="minor"/>
    </font>
    <font>
      <sz val="11"/>
      <color theme="0"/>
      <name val="Calibri"/>
      <family val="2"/>
    </font>
    <font>
      <b/>
      <sz val="10"/>
      <color indexed="8"/>
      <name val="Arial"/>
      <family val="2"/>
    </font>
    <font>
      <b/>
      <sz val="11"/>
      <color rgb="FF000000"/>
      <name val="Calibri"/>
      <family val="2"/>
    </font>
    <font>
      <b/>
      <sz val="16"/>
      <color indexed="8"/>
      <name val="Calibri"/>
      <family val="2"/>
    </font>
    <font>
      <b/>
      <sz val="18"/>
      <color indexed="8"/>
      <name val="Calibri"/>
      <family val="2"/>
    </font>
    <font>
      <sz val="9"/>
      <color indexed="9"/>
      <name val="Calibri"/>
      <family val="2"/>
      <scheme val="minor"/>
    </font>
    <font>
      <sz val="9"/>
      <color indexed="8"/>
      <name val="Calibri"/>
      <family val="2"/>
      <scheme val="minor"/>
    </font>
    <font>
      <sz val="9"/>
      <color rgb="FFFF0000"/>
      <name val="Calibri"/>
      <family val="2"/>
      <scheme val="minor"/>
    </font>
    <font>
      <b/>
      <sz val="14"/>
      <color indexed="8"/>
      <name val="Calibri"/>
      <family val="2"/>
    </font>
  </fonts>
  <fills count="31">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3" tint="0.79995117038483843"/>
        <bgColor indexed="64"/>
      </patternFill>
    </fill>
    <fill>
      <patternFill patternType="solid">
        <fgColor theme="0"/>
        <bgColor indexed="64"/>
      </patternFill>
    </fill>
    <fill>
      <patternFill patternType="solid">
        <fgColor theme="5" tint="0.39994506668294322"/>
        <bgColor indexed="64"/>
      </patternFill>
    </fill>
    <fill>
      <patternFill patternType="solid">
        <fgColor rgb="FFFF0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4" tint="0.39994506668294322"/>
        <bgColor indexed="64"/>
      </patternFill>
    </fill>
    <fill>
      <patternFill patternType="solid">
        <fgColor theme="7" tint="0.7999511703848384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rgb="FF5B9BD5"/>
        <bgColor indexed="64"/>
      </patternFill>
    </fill>
    <fill>
      <patternFill patternType="solid">
        <fgColor rgb="FFFFFFFF"/>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00"/>
        <bgColor indexed="8"/>
      </patternFill>
    </fill>
    <fill>
      <patternFill patternType="solid">
        <fgColor indexed="9"/>
        <bgColor indexed="8"/>
      </patternFill>
    </fill>
    <fill>
      <patternFill patternType="solid">
        <fgColor theme="0" tint="-0.14999847407452621"/>
        <bgColor indexed="64"/>
      </patternFill>
    </fill>
  </fills>
  <borders count="7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style="medium">
        <color auto="1"/>
      </bottom>
      <diagonal/>
    </border>
    <border>
      <left style="thin">
        <color auto="1"/>
      </left>
      <right style="medium">
        <color auto="1"/>
      </right>
      <top/>
      <bottom/>
      <diagonal/>
    </border>
    <border>
      <left/>
      <right style="medium">
        <color auto="1"/>
      </right>
      <top/>
      <bottom style="thin">
        <color auto="1"/>
      </bottom>
      <diagonal/>
    </border>
    <border>
      <left style="medium">
        <color auto="1"/>
      </left>
      <right style="medium">
        <color auto="1"/>
      </right>
      <top style="medium">
        <color auto="1"/>
      </top>
      <bottom/>
      <diagonal/>
    </border>
    <border>
      <left/>
      <right style="thin">
        <color auto="1"/>
      </right>
      <top style="thin">
        <color auto="1"/>
      </top>
      <bottom style="medium">
        <color auto="1"/>
      </bottom>
      <diagonal/>
    </border>
    <border>
      <left/>
      <right/>
      <top/>
      <bottom style="medium">
        <color auto="1"/>
      </bottom>
      <diagonal/>
    </border>
    <border>
      <left style="medium">
        <color auto="1"/>
      </left>
      <right/>
      <top/>
      <bottom style="medium">
        <color auto="1"/>
      </bottom>
      <diagonal/>
    </border>
    <border>
      <left/>
      <right style="thin">
        <color auto="1"/>
      </right>
      <top style="thin">
        <color auto="1"/>
      </top>
      <bottom style="thin">
        <color auto="1"/>
      </bottom>
      <diagonal/>
    </border>
    <border>
      <left/>
      <right style="medium">
        <color auto="1"/>
      </right>
      <top/>
      <bottom style="medium">
        <color auto="1"/>
      </bottom>
      <diagonal/>
    </border>
    <border>
      <left style="thin">
        <color auto="1"/>
      </left>
      <right/>
      <top style="medium">
        <color auto="1"/>
      </top>
      <bottom style="medium">
        <color auto="1"/>
      </bottom>
      <diagonal/>
    </border>
    <border>
      <left style="medium">
        <color indexed="64"/>
      </left>
      <right/>
      <top/>
      <bottom style="thin">
        <color auto="1"/>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medium">
        <color indexed="64"/>
      </left>
      <right/>
      <top/>
      <bottom style="hair">
        <color indexed="64"/>
      </bottom>
      <diagonal/>
    </border>
  </borders>
  <cellStyleXfs count="20">
    <xf numFmtId="0" fontId="0" fillId="0" borderId="0"/>
    <xf numFmtId="43" fontId="21"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165" fontId="21"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5" fillId="0" borderId="0"/>
    <xf numFmtId="0" fontId="5" fillId="0" borderId="0"/>
    <xf numFmtId="0" fontId="45" fillId="0" borderId="0" applyFill="0" applyProtection="0"/>
    <xf numFmtId="0" fontId="43"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cellStyleXfs>
  <cellXfs count="634">
    <xf numFmtId="0" fontId="0" fillId="0" borderId="0" xfId="0"/>
    <xf numFmtId="0" fontId="13" fillId="0" borderId="0" xfId="0" applyFont="1"/>
    <xf numFmtId="44" fontId="11" fillId="3" borderId="5" xfId="2" applyFont="1" applyFill="1" applyBorder="1" applyAlignment="1">
      <alignment vertical="center"/>
    </xf>
    <xf numFmtId="44" fontId="11" fillId="3" borderId="27" xfId="2" applyFont="1" applyFill="1" applyBorder="1" applyAlignment="1">
      <alignment vertical="center"/>
    </xf>
    <xf numFmtId="0" fontId="11" fillId="3" borderId="27" xfId="0" applyFont="1" applyFill="1" applyBorder="1"/>
    <xf numFmtId="0" fontId="9" fillId="0" borderId="0" xfId="0" applyFont="1"/>
    <xf numFmtId="0" fontId="9" fillId="0" borderId="14" xfId="0" applyFont="1" applyFill="1" applyBorder="1" applyAlignment="1">
      <alignment vertical="center" wrapText="1"/>
    </xf>
    <xf numFmtId="0" fontId="9" fillId="0" borderId="13" xfId="0" applyFont="1" applyFill="1" applyBorder="1" applyAlignment="1">
      <alignment vertical="center" wrapText="1"/>
    </xf>
    <xf numFmtId="43" fontId="14" fillId="0" borderId="14" xfId="1" applyNumberFormat="1" applyFont="1" applyFill="1" applyBorder="1" applyAlignment="1">
      <alignment vertical="center"/>
    </xf>
    <xf numFmtId="0" fontId="20" fillId="0" borderId="0" xfId="0" applyFont="1" applyAlignment="1">
      <alignment wrapText="1"/>
    </xf>
    <xf numFmtId="0" fontId="20" fillId="0" borderId="0" xfId="0" applyFont="1" applyAlignment="1">
      <alignment vertical="center" wrapText="1"/>
    </xf>
    <xf numFmtId="0" fontId="24" fillId="13" borderId="27" xfId="0" applyFont="1" applyFill="1" applyBorder="1" applyAlignment="1">
      <alignment horizontal="center" vertical="center" wrapText="1"/>
    </xf>
    <xf numFmtId="44" fontId="13" fillId="0" borderId="39" xfId="2" applyNumberFormat="1" applyFont="1" applyBorder="1" applyAlignment="1">
      <alignment vertical="center" wrapText="1"/>
    </xf>
    <xf numFmtId="44" fontId="13" fillId="0" borderId="14" xfId="2" applyNumberFormat="1" applyFont="1" applyBorder="1" applyAlignment="1">
      <alignment vertical="center" wrapText="1"/>
    </xf>
    <xf numFmtId="44" fontId="13" fillId="0" borderId="22" xfId="2" applyNumberFormat="1" applyFont="1" applyBorder="1" applyAlignment="1">
      <alignment vertical="center" wrapText="1"/>
    </xf>
    <xf numFmtId="0" fontId="13" fillId="0" borderId="0" xfId="0" applyFont="1" applyAlignment="1">
      <alignment wrapText="1"/>
    </xf>
    <xf numFmtId="0" fontId="13" fillId="0" borderId="0" xfId="0" applyFont="1" applyAlignment="1">
      <alignment vertical="center" wrapText="1"/>
    </xf>
    <xf numFmtId="0" fontId="31" fillId="0" borderId="38" xfId="0" applyFont="1" applyBorder="1" applyAlignment="1">
      <alignment vertical="center" wrapText="1"/>
    </xf>
    <xf numFmtId="44" fontId="13" fillId="12" borderId="40" xfId="2" applyNumberFormat="1" applyFont="1" applyFill="1" applyBorder="1" applyAlignment="1">
      <alignment vertical="center" wrapText="1"/>
    </xf>
    <xf numFmtId="0" fontId="31" fillId="0" borderId="13" xfId="0" applyFont="1" applyBorder="1" applyAlignment="1">
      <alignment vertical="center" wrapText="1"/>
    </xf>
    <xf numFmtId="0" fontId="31" fillId="0" borderId="21" xfId="0" applyFont="1" applyBorder="1" applyAlignment="1">
      <alignment vertical="center" wrapText="1"/>
    </xf>
    <xf numFmtId="0" fontId="12" fillId="0" borderId="0" xfId="0" applyFont="1"/>
    <xf numFmtId="0" fontId="25" fillId="0" borderId="0" xfId="5" applyFont="1" applyBorder="1" applyAlignment="1"/>
    <xf numFmtId="0" fontId="13" fillId="0" borderId="0" xfId="0" applyFont="1" applyBorder="1"/>
    <xf numFmtId="0" fontId="12" fillId="0" borderId="0" xfId="0" applyFont="1" applyBorder="1"/>
    <xf numFmtId="44" fontId="12" fillId="0" borderId="0" xfId="2" applyNumberFormat="1" applyFont="1" applyBorder="1" applyAlignment="1">
      <alignment horizontal="center" vertical="center" wrapText="1"/>
    </xf>
    <xf numFmtId="1" fontId="9" fillId="0" borderId="14" xfId="0" applyNumberFormat="1" applyFont="1" applyFill="1" applyBorder="1" applyAlignment="1">
      <alignment vertical="center"/>
    </xf>
    <xf numFmtId="1" fontId="9" fillId="0" borderId="14" xfId="0" applyNumberFormat="1" applyFont="1" applyFill="1" applyBorder="1" applyAlignment="1">
      <alignment horizontal="center" vertical="center"/>
    </xf>
    <xf numFmtId="0" fontId="0" fillId="0" borderId="0" xfId="0" applyProtection="1">
      <protection locked="0"/>
    </xf>
    <xf numFmtId="0" fontId="9" fillId="0" borderId="0" xfId="0" applyFont="1" applyProtection="1">
      <protection locked="0"/>
    </xf>
    <xf numFmtId="44" fontId="17" fillId="19" borderId="6" xfId="0" applyNumberFormat="1" applyFont="1" applyFill="1" applyBorder="1" applyAlignment="1">
      <alignment vertical="center" wrapText="1"/>
    </xf>
    <xf numFmtId="0" fontId="9" fillId="0" borderId="21" xfId="0" applyFont="1" applyBorder="1" applyAlignment="1">
      <alignment horizontal="center" vertical="center"/>
    </xf>
    <xf numFmtId="44" fontId="9" fillId="0" borderId="14" xfId="2" applyFont="1" applyFill="1" applyBorder="1" applyAlignment="1">
      <alignment vertical="center"/>
    </xf>
    <xf numFmtId="44" fontId="9" fillId="0" borderId="15" xfId="2" applyFont="1" applyFill="1" applyBorder="1" applyAlignment="1">
      <alignment vertical="center"/>
    </xf>
    <xf numFmtId="44" fontId="9" fillId="0" borderId="17" xfId="2" applyFont="1" applyFill="1" applyBorder="1" applyAlignment="1">
      <alignment vertical="center"/>
    </xf>
    <xf numFmtId="168" fontId="9" fillId="0" borderId="17" xfId="1" applyNumberFormat="1" applyFont="1" applyFill="1" applyBorder="1" applyAlignment="1">
      <alignment vertical="center"/>
    </xf>
    <xf numFmtId="1" fontId="9" fillId="0" borderId="17" xfId="0" applyNumberFormat="1" applyFont="1" applyFill="1" applyBorder="1" applyAlignment="1">
      <alignment vertical="center"/>
    </xf>
    <xf numFmtId="44" fontId="9" fillId="0" borderId="18" xfId="2" applyFont="1" applyFill="1" applyBorder="1" applyAlignment="1">
      <alignment vertical="center"/>
    </xf>
    <xf numFmtId="44" fontId="9" fillId="0" borderId="14" xfId="1" applyNumberFormat="1" applyFont="1" applyFill="1" applyBorder="1" applyAlignment="1">
      <alignment vertical="center"/>
    </xf>
    <xf numFmtId="44" fontId="9" fillId="0" borderId="15" xfId="1" applyNumberFormat="1" applyFont="1" applyFill="1" applyBorder="1" applyAlignment="1">
      <alignment vertical="center"/>
    </xf>
    <xf numFmtId="0" fontId="9" fillId="0" borderId="14" xfId="0" applyFont="1" applyFill="1" applyBorder="1" applyAlignment="1">
      <alignment vertical="center"/>
    </xf>
    <xf numFmtId="44" fontId="9" fillId="0" borderId="14" xfId="0" applyNumberFormat="1" applyFont="1" applyFill="1" applyBorder="1" applyAlignment="1">
      <alignment vertical="center"/>
    </xf>
    <xf numFmtId="44" fontId="9" fillId="0" borderId="15" xfId="0" applyNumberFormat="1" applyFont="1" applyFill="1" applyBorder="1" applyAlignment="1">
      <alignment vertical="center"/>
    </xf>
    <xf numFmtId="0" fontId="9" fillId="0" borderId="13" xfId="0" applyFont="1" applyFill="1" applyBorder="1"/>
    <xf numFmtId="0" fontId="9" fillId="0" borderId="14" xfId="0" applyFont="1" applyFill="1" applyBorder="1"/>
    <xf numFmtId="44" fontId="9" fillId="0" borderId="14" xfId="0" applyNumberFormat="1" applyFont="1" applyFill="1" applyBorder="1"/>
    <xf numFmtId="43" fontId="9" fillId="0" borderId="0" xfId="0" applyNumberFormat="1" applyFont="1"/>
    <xf numFmtId="43" fontId="11" fillId="3" borderId="27" xfId="0" applyNumberFormat="1" applyFont="1" applyFill="1" applyBorder="1"/>
    <xf numFmtId="168" fontId="14" fillId="0" borderId="14" xfId="1" applyNumberFormat="1" applyFont="1" applyFill="1" applyBorder="1" applyAlignment="1">
      <alignment vertical="center"/>
    </xf>
    <xf numFmtId="168" fontId="9" fillId="0" borderId="14" xfId="1" applyNumberFormat="1" applyFont="1" applyFill="1" applyBorder="1" applyAlignment="1">
      <alignment vertical="center"/>
    </xf>
    <xf numFmtId="0" fontId="9" fillId="0" borderId="13" xfId="0" applyFont="1" applyBorder="1" applyAlignment="1">
      <alignment vertical="center"/>
    </xf>
    <xf numFmtId="1" fontId="9" fillId="0" borderId="11" xfId="0" applyNumberFormat="1" applyFont="1" applyFill="1" applyBorder="1" applyAlignment="1">
      <alignment vertical="center"/>
    </xf>
    <xf numFmtId="167" fontId="9" fillId="0" borderId="11" xfId="1" applyNumberFormat="1" applyFont="1" applyFill="1" applyBorder="1" applyAlignment="1">
      <alignment vertical="center"/>
    </xf>
    <xf numFmtId="44" fontId="9" fillId="0" borderId="11" xfId="2" applyFont="1" applyFill="1" applyBorder="1" applyAlignment="1">
      <alignment vertical="center"/>
    </xf>
    <xf numFmtId="44" fontId="9" fillId="0" borderId="12" xfId="2" applyFont="1" applyFill="1" applyBorder="1" applyAlignment="1">
      <alignment vertical="center"/>
    </xf>
    <xf numFmtId="0" fontId="11" fillId="11" borderId="27" xfId="0" applyFont="1" applyFill="1" applyBorder="1" applyAlignment="1">
      <alignment horizontal="center" vertical="center" wrapText="1"/>
    </xf>
    <xf numFmtId="0" fontId="9" fillId="0" borderId="10" xfId="0" applyFont="1" applyBorder="1" applyAlignment="1">
      <alignment vertical="center"/>
    </xf>
    <xf numFmtId="1" fontId="9" fillId="0" borderId="11" xfId="0" applyNumberFormat="1" applyFont="1" applyFill="1" applyBorder="1" applyAlignment="1">
      <alignment horizontal="center" vertical="center"/>
    </xf>
    <xf numFmtId="44" fontId="9" fillId="0" borderId="11" xfId="1" applyNumberFormat="1" applyFont="1" applyFill="1" applyBorder="1" applyAlignment="1">
      <alignment vertical="center"/>
    </xf>
    <xf numFmtId="44" fontId="9" fillId="0" borderId="12" xfId="1" applyNumberFormat="1" applyFont="1" applyFill="1" applyBorder="1" applyAlignment="1">
      <alignment vertical="center"/>
    </xf>
    <xf numFmtId="0" fontId="9" fillId="0" borderId="16" xfId="0" applyFont="1" applyFill="1" applyBorder="1" applyAlignment="1">
      <alignment vertical="center"/>
    </xf>
    <xf numFmtId="0" fontId="9" fillId="0" borderId="17" xfId="0" applyFont="1" applyFill="1" applyBorder="1" applyAlignment="1">
      <alignment vertical="center"/>
    </xf>
    <xf numFmtId="44" fontId="9" fillId="0" borderId="17" xfId="0" applyNumberFormat="1" applyFont="1" applyFill="1" applyBorder="1" applyAlignment="1">
      <alignment vertical="center"/>
    </xf>
    <xf numFmtId="44" fontId="9" fillId="0" borderId="18" xfId="0" applyNumberFormat="1" applyFont="1" applyFill="1" applyBorder="1" applyAlignment="1">
      <alignment vertical="center"/>
    </xf>
    <xf numFmtId="0" fontId="17" fillId="0" borderId="22" xfId="0" applyFont="1" applyBorder="1" applyAlignment="1">
      <alignment horizontal="center" vertical="center" wrapText="1"/>
    </xf>
    <xf numFmtId="44" fontId="9" fillId="0" borderId="22" xfId="2" applyFont="1" applyFill="1" applyBorder="1" applyAlignment="1">
      <alignment vertical="center"/>
    </xf>
    <xf numFmtId="44" fontId="9" fillId="0" borderId="23" xfId="2" applyFont="1" applyFill="1" applyBorder="1" applyAlignment="1">
      <alignment vertical="center"/>
    </xf>
    <xf numFmtId="0" fontId="9" fillId="0" borderId="10" xfId="0" applyFont="1" applyBorder="1" applyAlignment="1">
      <alignment horizontal="center" vertical="center"/>
    </xf>
    <xf numFmtId="0" fontId="17" fillId="0" borderId="11" xfId="0" applyFont="1" applyBorder="1" applyAlignment="1">
      <alignment horizontal="center" vertical="center" wrapText="1"/>
    </xf>
    <xf numFmtId="0" fontId="11" fillId="12" borderId="27" xfId="0" applyFont="1" applyFill="1" applyBorder="1" applyAlignment="1">
      <alignment horizontal="center" vertical="center"/>
    </xf>
    <xf numFmtId="0" fontId="11" fillId="12" borderId="27" xfId="0" applyFont="1" applyFill="1" applyBorder="1" applyAlignment="1">
      <alignment horizontal="center" vertical="center" wrapText="1"/>
    </xf>
    <xf numFmtId="44" fontId="11" fillId="3" borderId="6" xfId="2" applyFont="1" applyFill="1" applyBorder="1" applyAlignment="1">
      <alignment vertical="center"/>
    </xf>
    <xf numFmtId="1" fontId="9" fillId="0" borderId="13" xfId="0" applyNumberFormat="1" applyFont="1" applyFill="1" applyBorder="1" applyAlignment="1">
      <alignment vertical="center"/>
    </xf>
    <xf numFmtId="1" fontId="9" fillId="0" borderId="21" xfId="0" applyNumberFormat="1" applyFont="1" applyFill="1" applyBorder="1" applyAlignment="1">
      <alignment vertical="center"/>
    </xf>
    <xf numFmtId="0" fontId="9" fillId="0" borderId="22" xfId="0" applyFont="1" applyFill="1" applyBorder="1" applyAlignment="1">
      <alignment vertical="center" wrapText="1"/>
    </xf>
    <xf numFmtId="1" fontId="9" fillId="0" borderId="38" xfId="0" applyNumberFormat="1" applyFont="1" applyFill="1" applyBorder="1" applyAlignment="1">
      <alignment vertical="center"/>
    </xf>
    <xf numFmtId="0" fontId="9" fillId="0" borderId="39" xfId="0" applyFont="1" applyFill="1" applyBorder="1" applyAlignment="1">
      <alignment vertical="center" wrapText="1"/>
    </xf>
    <xf numFmtId="44" fontId="9" fillId="0" borderId="39" xfId="2" applyFont="1" applyFill="1" applyBorder="1" applyAlignment="1">
      <alignment vertical="center"/>
    </xf>
    <xf numFmtId="44" fontId="9" fillId="0" borderId="40" xfId="2" applyFont="1" applyFill="1" applyBorder="1" applyAlignment="1">
      <alignment vertical="center"/>
    </xf>
    <xf numFmtId="0" fontId="16" fillId="0" borderId="0" xfId="0" applyFont="1"/>
    <xf numFmtId="0" fontId="15" fillId="2" borderId="7" xfId="0" applyFont="1" applyFill="1" applyBorder="1" applyAlignment="1">
      <alignment horizontal="left"/>
    </xf>
    <xf numFmtId="0" fontId="15" fillId="2" borderId="8" xfId="0" applyFont="1" applyFill="1" applyBorder="1" applyAlignment="1">
      <alignment horizontal="center"/>
    </xf>
    <xf numFmtId="0" fontId="15" fillId="2" borderId="9" xfId="0" applyFont="1" applyFill="1" applyBorder="1" applyAlignment="1">
      <alignment horizontal="center"/>
    </xf>
    <xf numFmtId="0" fontId="16" fillId="0" borderId="10" xfId="0" applyFont="1" applyFill="1" applyBorder="1" applyAlignment="1">
      <alignment vertical="top" wrapText="1"/>
    </xf>
    <xf numFmtId="165" fontId="16" fillId="0" borderId="11" xfId="4" applyFont="1" applyBorder="1"/>
    <xf numFmtId="44" fontId="16" fillId="3" borderId="11" xfId="1" applyNumberFormat="1" applyFont="1" applyFill="1" applyBorder="1"/>
    <xf numFmtId="44" fontId="16" fillId="3" borderId="12" xfId="1" applyNumberFormat="1" applyFont="1" applyFill="1" applyBorder="1"/>
    <xf numFmtId="0" fontId="16" fillId="0" borderId="13" xfId="0" applyFont="1" applyFill="1" applyBorder="1" applyAlignment="1">
      <alignment vertical="top" wrapText="1"/>
    </xf>
    <xf numFmtId="165" fontId="16" fillId="0" borderId="14" xfId="4" applyFont="1" applyBorder="1"/>
    <xf numFmtId="44" fontId="16" fillId="3" borderId="14" xfId="1" applyNumberFormat="1" applyFont="1" applyFill="1" applyBorder="1"/>
    <xf numFmtId="44" fontId="16" fillId="3" borderId="15" xfId="1" applyNumberFormat="1" applyFont="1" applyFill="1" applyBorder="1"/>
    <xf numFmtId="0" fontId="33" fillId="4" borderId="7" xfId="0" applyFont="1" applyFill="1" applyBorder="1"/>
    <xf numFmtId="165" fontId="33" fillId="4" borderId="8" xfId="4" applyFont="1" applyFill="1" applyBorder="1"/>
    <xf numFmtId="165" fontId="33" fillId="4" borderId="8" xfId="4" applyFont="1" applyFill="1" applyBorder="1" applyAlignment="1">
      <alignment horizontal="center"/>
    </xf>
    <xf numFmtId="0" fontId="16" fillId="0" borderId="19" xfId="0" applyFont="1" applyBorder="1" applyAlignment="1">
      <alignment vertical="center"/>
    </xf>
    <xf numFmtId="43" fontId="16" fillId="5" borderId="0" xfId="1" applyFont="1" applyFill="1" applyBorder="1" applyAlignment="1">
      <alignment vertical="center"/>
    </xf>
    <xf numFmtId="44" fontId="16" fillId="5" borderId="0" xfId="2" applyFont="1" applyFill="1" applyBorder="1" applyAlignment="1">
      <alignment vertical="center"/>
    </xf>
    <xf numFmtId="44" fontId="16" fillId="5" borderId="20" xfId="2" applyFont="1" applyFill="1" applyBorder="1" applyAlignment="1">
      <alignment vertical="center"/>
    </xf>
    <xf numFmtId="0" fontId="16" fillId="0" borderId="14" xfId="0" applyFont="1" applyBorder="1" applyAlignment="1">
      <alignment vertical="center" wrapText="1"/>
    </xf>
    <xf numFmtId="44" fontId="16" fillId="3" borderId="14" xfId="2" applyFont="1" applyFill="1" applyBorder="1" applyAlignment="1">
      <alignment vertical="center"/>
    </xf>
    <xf numFmtId="43" fontId="16" fillId="0" borderId="14" xfId="1" applyFont="1" applyBorder="1" applyAlignment="1">
      <alignment vertical="center"/>
    </xf>
    <xf numFmtId="44" fontId="16" fillId="3" borderId="14" xfId="1" applyNumberFormat="1" applyFont="1" applyFill="1" applyBorder="1" applyAlignment="1">
      <alignment vertical="center"/>
    </xf>
    <xf numFmtId="0" fontId="15" fillId="0" borderId="14" xfId="0" applyFont="1" applyBorder="1" applyAlignment="1">
      <alignment vertical="center" wrapText="1"/>
    </xf>
    <xf numFmtId="0" fontId="16" fillId="0" borderId="10" xfId="0" applyFont="1" applyFill="1" applyBorder="1"/>
    <xf numFmtId="43" fontId="16" fillId="0" borderId="11" xfId="1" applyFont="1" applyFill="1" applyBorder="1" applyAlignment="1">
      <alignment vertical="center"/>
    </xf>
    <xf numFmtId="44" fontId="16" fillId="3" borderId="11" xfId="1" applyNumberFormat="1" applyFont="1" applyFill="1" applyBorder="1" applyAlignment="1">
      <alignment vertical="center"/>
    </xf>
    <xf numFmtId="43" fontId="16" fillId="0" borderId="14" xfId="1" applyFont="1" applyFill="1" applyBorder="1" applyAlignment="1">
      <alignment vertical="center"/>
    </xf>
    <xf numFmtId="0" fontId="15" fillId="0" borderId="14" xfId="0" applyFont="1" applyFill="1" applyBorder="1" applyAlignment="1">
      <alignment vertical="center"/>
    </xf>
    <xf numFmtId="44" fontId="16" fillId="3" borderId="14" xfId="2" applyNumberFormat="1" applyFont="1" applyFill="1" applyBorder="1" applyAlignment="1">
      <alignment vertical="center"/>
    </xf>
    <xf numFmtId="43" fontId="16" fillId="0" borderId="17" xfId="1" applyFont="1" applyFill="1" applyBorder="1" applyAlignment="1">
      <alignment vertical="center"/>
    </xf>
    <xf numFmtId="43" fontId="16" fillId="0" borderId="22" xfId="1" applyFont="1" applyFill="1" applyBorder="1" applyAlignment="1">
      <alignment vertical="center"/>
    </xf>
    <xf numFmtId="0" fontId="33" fillId="4" borderId="24" xfId="0" applyFont="1" applyFill="1" applyBorder="1"/>
    <xf numFmtId="165" fontId="33" fillId="4" borderId="25" xfId="4" applyFont="1" applyFill="1" applyBorder="1"/>
    <xf numFmtId="165" fontId="33" fillId="4" borderId="25" xfId="4" applyFont="1" applyFill="1" applyBorder="1" applyAlignment="1">
      <alignment horizontal="center"/>
    </xf>
    <xf numFmtId="0" fontId="33" fillId="0" borderId="0" xfId="0" applyFont="1" applyBorder="1" applyAlignment="1">
      <alignment vertical="center"/>
    </xf>
    <xf numFmtId="44" fontId="33" fillId="0" borderId="0" xfId="2" applyFont="1" applyBorder="1" applyAlignment="1">
      <alignment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wrapText="1"/>
    </xf>
    <xf numFmtId="164" fontId="16" fillId="0" borderId="9" xfId="0" applyNumberFormat="1" applyFont="1" applyBorder="1" applyAlignment="1">
      <alignment horizontal="center" vertical="center"/>
    </xf>
    <xf numFmtId="0" fontId="16" fillId="7" borderId="10" xfId="0" applyFont="1" applyFill="1" applyBorder="1" applyAlignment="1">
      <alignment horizontal="center" vertical="center"/>
    </xf>
    <xf numFmtId="164" fontId="16" fillId="3" borderId="11" xfId="0" applyNumberFormat="1" applyFont="1" applyFill="1" applyBorder="1" applyAlignment="1">
      <alignment horizontal="center" vertical="center"/>
    </xf>
    <xf numFmtId="164" fontId="16" fillId="8" borderId="12" xfId="0" applyNumberFormat="1" applyFont="1" applyFill="1" applyBorder="1" applyAlignment="1">
      <alignment horizontal="center" vertical="center"/>
    </xf>
    <xf numFmtId="0" fontId="16" fillId="7" borderId="21" xfId="0" applyFont="1" applyFill="1" applyBorder="1" applyAlignment="1">
      <alignment horizontal="center" vertical="center"/>
    </xf>
    <xf numFmtId="0" fontId="16" fillId="3" borderId="22" xfId="0" applyFont="1" applyFill="1" applyBorder="1" applyAlignment="1">
      <alignment horizontal="center" vertical="center"/>
    </xf>
    <xf numFmtId="164" fontId="16" fillId="8" borderId="23" xfId="0" applyNumberFormat="1" applyFont="1" applyFill="1" applyBorder="1" applyAlignment="1">
      <alignment horizontal="center" vertical="center"/>
    </xf>
    <xf numFmtId="166" fontId="16" fillId="0" borderId="48" xfId="3" applyNumberFormat="1" applyFont="1" applyBorder="1" applyAlignment="1">
      <alignment horizontal="right" vertical="center"/>
    </xf>
    <xf numFmtId="43" fontId="16" fillId="0" borderId="33" xfId="1" applyNumberFormat="1" applyFont="1" applyBorder="1" applyAlignment="1">
      <alignment horizontal="right" vertical="center"/>
    </xf>
    <xf numFmtId="10" fontId="15" fillId="0" borderId="33" xfId="0" applyNumberFormat="1" applyFont="1" applyBorder="1" applyAlignment="1">
      <alignment horizontal="right" vertical="center"/>
    </xf>
    <xf numFmtId="164" fontId="16" fillId="0" borderId="37" xfId="0" applyNumberFormat="1" applyFont="1" applyBorder="1" applyAlignment="1">
      <alignment horizontal="right" vertical="center"/>
    </xf>
    <xf numFmtId="0" fontId="16" fillId="0" borderId="28"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horizontal="center" vertical="center"/>
    </xf>
    <xf numFmtId="0" fontId="9" fillId="5" borderId="0" xfId="0" applyFont="1" applyFill="1" applyProtection="1">
      <protection locked="0"/>
    </xf>
    <xf numFmtId="0" fontId="0" fillId="5" borderId="0" xfId="0" applyFill="1" applyProtection="1">
      <protection locked="0"/>
    </xf>
    <xf numFmtId="44" fontId="17" fillId="19" borderId="3" xfId="0" applyNumberFormat="1" applyFont="1" applyFill="1" applyBorder="1" applyAlignment="1">
      <alignment vertical="center" wrapText="1"/>
    </xf>
    <xf numFmtId="44" fontId="37" fillId="18" borderId="14" xfId="0" applyNumberFormat="1" applyFont="1" applyFill="1" applyBorder="1" applyAlignment="1">
      <alignment vertical="center" wrapText="1"/>
    </xf>
    <xf numFmtId="0" fontId="22" fillId="2" borderId="27" xfId="0" applyFont="1" applyFill="1" applyBorder="1" applyAlignment="1">
      <alignment horizontal="center" vertical="center" wrapText="1"/>
    </xf>
    <xf numFmtId="0" fontId="26" fillId="2" borderId="27" xfId="0" applyFont="1" applyFill="1" applyBorder="1" applyAlignment="1" applyProtection="1">
      <alignment horizontal="center" vertical="center" wrapText="1"/>
      <protection locked="0"/>
    </xf>
    <xf numFmtId="0" fontId="23" fillId="2" borderId="27"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0" fillId="0" borderId="0" xfId="0" applyAlignment="1" applyProtection="1">
      <alignment vertical="center"/>
      <protection locked="0"/>
    </xf>
    <xf numFmtId="10" fontId="38" fillId="0" borderId="0" xfId="0" applyNumberFormat="1" applyFont="1" applyAlignment="1" applyProtection="1">
      <alignment vertical="center"/>
      <protection locked="0"/>
    </xf>
    <xf numFmtId="44" fontId="9" fillId="3" borderId="14" xfId="2" applyNumberFormat="1" applyFont="1" applyFill="1" applyBorder="1" applyAlignment="1" applyProtection="1">
      <alignment vertical="center"/>
      <protection locked="0"/>
    </xf>
    <xf numFmtId="10" fontId="0" fillId="0" borderId="0" xfId="0" applyNumberFormat="1" applyAlignment="1" applyProtection="1">
      <alignment vertical="center"/>
      <protection locked="0"/>
    </xf>
    <xf numFmtId="0" fontId="11" fillId="0" borderId="0" xfId="0" applyFont="1" applyAlignment="1" applyProtection="1">
      <alignment vertical="center"/>
      <protection locked="0"/>
    </xf>
    <xf numFmtId="0" fontId="8" fillId="0" borderId="10" xfId="0" applyFont="1" applyFill="1" applyBorder="1" applyAlignment="1">
      <alignment vertical="top" wrapText="1"/>
    </xf>
    <xf numFmtId="0" fontId="8" fillId="0" borderId="13" xfId="0" applyFont="1" applyFill="1" applyBorder="1" applyAlignment="1">
      <alignment vertical="top" wrapText="1"/>
    </xf>
    <xf numFmtId="44" fontId="16" fillId="0" borderId="0" xfId="0" applyNumberFormat="1" applyFont="1"/>
    <xf numFmtId="44" fontId="24" fillId="17" borderId="39" xfId="2" applyNumberFormat="1" applyFont="1" applyFill="1" applyBorder="1" applyAlignment="1">
      <alignment horizontal="center" vertical="center" wrapText="1"/>
    </xf>
    <xf numFmtId="0" fontId="28" fillId="24" borderId="7" xfId="0" applyFont="1" applyFill="1" applyBorder="1" applyAlignment="1">
      <alignment vertical="center" wrapText="1"/>
    </xf>
    <xf numFmtId="44" fontId="13" fillId="24" borderId="8" xfId="2" applyNumberFormat="1" applyFont="1" applyFill="1" applyBorder="1" applyAlignment="1">
      <alignment vertical="center" wrapText="1"/>
    </xf>
    <xf numFmtId="44" fontId="29" fillId="24" borderId="8" xfId="0" applyNumberFormat="1" applyFont="1" applyFill="1" applyBorder="1" applyAlignment="1">
      <alignment vertical="center" wrapText="1"/>
    </xf>
    <xf numFmtId="44" fontId="13" fillId="24" borderId="9" xfId="2" applyNumberFormat="1" applyFont="1" applyFill="1" applyBorder="1" applyAlignment="1">
      <alignment vertical="center" wrapText="1"/>
    </xf>
    <xf numFmtId="171" fontId="13" fillId="24" borderId="9" xfId="2" applyNumberFormat="1" applyFont="1" applyFill="1" applyBorder="1" applyAlignment="1">
      <alignment vertical="center" wrapText="1"/>
    </xf>
    <xf numFmtId="44" fontId="24" fillId="24" borderId="8" xfId="2" applyNumberFormat="1" applyFont="1" applyFill="1" applyBorder="1" applyAlignment="1">
      <alignment vertical="center" wrapText="1"/>
    </xf>
    <xf numFmtId="44" fontId="30" fillId="24" borderId="8" xfId="0" applyNumberFormat="1" applyFont="1" applyFill="1" applyBorder="1" applyAlignment="1">
      <alignment vertical="center" wrapText="1"/>
    </xf>
    <xf numFmtId="0" fontId="28" fillId="23" borderId="7" xfId="0" applyFont="1" applyFill="1" applyBorder="1" applyAlignment="1">
      <alignment vertical="center" wrapText="1"/>
    </xf>
    <xf numFmtId="44" fontId="29" fillId="23" borderId="8" xfId="0" applyNumberFormat="1" applyFont="1" applyFill="1" applyBorder="1" applyAlignment="1">
      <alignment vertical="center" wrapText="1"/>
    </xf>
    <xf numFmtId="44" fontId="29" fillId="23" borderId="9" xfId="0" applyNumberFormat="1" applyFont="1" applyFill="1" applyBorder="1" applyAlignment="1">
      <alignment vertical="center" wrapText="1"/>
    </xf>
    <xf numFmtId="0" fontId="0" fillId="0" borderId="0" xfId="0" applyAlignment="1">
      <alignment vertical="center"/>
    </xf>
    <xf numFmtId="0" fontId="7" fillId="0" borderId="14" xfId="0" applyFont="1" applyBorder="1" applyAlignment="1" applyProtection="1">
      <alignment horizontal="center" vertical="center"/>
      <protection locked="0"/>
    </xf>
    <xf numFmtId="172" fontId="38" fillId="0" borderId="0" xfId="0" applyNumberFormat="1" applyFont="1"/>
    <xf numFmtId="170" fontId="24" fillId="23" borderId="8" xfId="2" applyNumberFormat="1" applyFont="1" applyFill="1" applyBorder="1" applyAlignment="1">
      <alignment vertical="center" wrapText="1"/>
    </xf>
    <xf numFmtId="0" fontId="6" fillId="0" borderId="27" xfId="0" applyFont="1" applyBorder="1" applyAlignment="1">
      <alignment horizontal="justify" vertical="center" wrapText="1"/>
    </xf>
    <xf numFmtId="0" fontId="6" fillId="0" borderId="49" xfId="0" applyFont="1" applyBorder="1" applyAlignment="1">
      <alignment horizontal="justify" vertical="center" wrapText="1"/>
    </xf>
    <xf numFmtId="0" fontId="6" fillId="0" borderId="14" xfId="0" applyFont="1" applyBorder="1" applyAlignment="1">
      <alignment vertical="center" wrapText="1"/>
    </xf>
    <xf numFmtId="0" fontId="16" fillId="0" borderId="0" xfId="0" applyFont="1" applyAlignment="1">
      <alignment horizontal="left" vertical="center"/>
    </xf>
    <xf numFmtId="0" fontId="34" fillId="0" borderId="0" xfId="0" applyFont="1" applyAlignment="1">
      <alignment horizontal="left" vertical="center"/>
    </xf>
    <xf numFmtId="0" fontId="11" fillId="0" borderId="13" xfId="0" applyFont="1" applyBorder="1" applyAlignment="1">
      <alignment vertical="center" wrapText="1"/>
    </xf>
    <xf numFmtId="0" fontId="11" fillId="0" borderId="21" xfId="0" applyFont="1" applyBorder="1" applyAlignment="1">
      <alignment vertical="center" wrapText="1"/>
    </xf>
    <xf numFmtId="0" fontId="6" fillId="0" borderId="22" xfId="0" applyFont="1" applyBorder="1" applyAlignment="1">
      <alignment vertical="center" wrapText="1"/>
    </xf>
    <xf numFmtId="0" fontId="34" fillId="0" borderId="19" xfId="0" applyFont="1" applyBorder="1"/>
    <xf numFmtId="0" fontId="16" fillId="0" borderId="20" xfId="0" applyFont="1" applyBorder="1"/>
    <xf numFmtId="0" fontId="15" fillId="0" borderId="13" xfId="0" applyFont="1" applyBorder="1"/>
    <xf numFmtId="0" fontId="15" fillId="0" borderId="15" xfId="0" applyFont="1" applyBorder="1"/>
    <xf numFmtId="0" fontId="6" fillId="7" borderId="15" xfId="0" applyFont="1" applyFill="1" applyBorder="1" applyAlignment="1">
      <alignment vertical="center" wrapText="1"/>
    </xf>
    <xf numFmtId="0" fontId="6" fillId="8" borderId="15" xfId="0" applyFont="1" applyFill="1" applyBorder="1" applyAlignment="1">
      <alignment vertical="center" wrapText="1"/>
    </xf>
    <xf numFmtId="0" fontId="6" fillId="26" borderId="15" xfId="0" applyFont="1" applyFill="1" applyBorder="1" applyAlignment="1">
      <alignment vertical="center" wrapText="1"/>
    </xf>
    <xf numFmtId="0" fontId="16" fillId="0" borderId="19" xfId="0" applyFont="1" applyBorder="1"/>
    <xf numFmtId="0" fontId="16" fillId="0" borderId="0" xfId="0" applyFont="1" applyBorder="1"/>
    <xf numFmtId="0" fontId="41" fillId="0" borderId="0" xfId="8" applyFont="1" applyAlignment="1">
      <alignment horizontal="center" vertical="center"/>
    </xf>
    <xf numFmtId="0" fontId="41" fillId="0" borderId="0" xfId="8" applyFont="1" applyAlignment="1">
      <alignment horizontal="right" vertical="center"/>
    </xf>
    <xf numFmtId="0" fontId="41" fillId="0" borderId="0" xfId="8" applyFont="1" applyAlignment="1">
      <alignment horizontal="left" vertical="center"/>
    </xf>
    <xf numFmtId="0" fontId="40" fillId="0" borderId="0" xfId="8" applyFont="1" applyAlignment="1">
      <alignment vertical="center"/>
    </xf>
    <xf numFmtId="0" fontId="40" fillId="0" borderId="0" xfId="8" applyFont="1" applyAlignment="1">
      <alignment horizontal="left" vertical="center"/>
    </xf>
    <xf numFmtId="2" fontId="41" fillId="0" borderId="0" xfId="8" applyNumberFormat="1" applyFont="1" applyAlignment="1">
      <alignment horizontal="right" vertical="center"/>
    </xf>
    <xf numFmtId="173" fontId="40" fillId="0" borderId="14" xfId="8" applyNumberFormat="1" applyFont="1" applyBorder="1" applyAlignment="1">
      <alignment horizontal="right" vertical="center"/>
    </xf>
    <xf numFmtId="0" fontId="40" fillId="0" borderId="0" xfId="8" applyFont="1" applyAlignment="1">
      <alignment horizontal="center" vertical="center"/>
    </xf>
    <xf numFmtId="0" fontId="40" fillId="5" borderId="0" xfId="8" applyFont="1" applyFill="1" applyAlignment="1">
      <alignment horizontal="center" vertical="center" wrapText="1"/>
    </xf>
    <xf numFmtId="0" fontId="40" fillId="0" borderId="14" xfId="0" applyFont="1" applyBorder="1" applyAlignment="1">
      <alignment horizontal="center" vertical="center"/>
    </xf>
    <xf numFmtId="0" fontId="40" fillId="0" borderId="14" xfId="0" applyFont="1" applyBorder="1" applyAlignment="1">
      <alignment horizontal="right" vertical="center"/>
    </xf>
    <xf numFmtId="0" fontId="40" fillId="0" borderId="14" xfId="0" applyFont="1" applyBorder="1" applyAlignment="1">
      <alignment horizontal="right" vertical="center" wrapText="1"/>
    </xf>
    <xf numFmtId="0" fontId="41" fillId="0" borderId="14" xfId="0" applyFont="1" applyBorder="1" applyAlignment="1">
      <alignment horizontal="center" vertical="center"/>
    </xf>
    <xf numFmtId="0" fontId="42" fillId="0" borderId="14" xfId="0" applyFont="1" applyBorder="1" applyAlignment="1">
      <alignment horizontal="center" vertical="center"/>
    </xf>
    <xf numFmtId="2" fontId="41" fillId="0" borderId="14" xfId="0" applyNumberFormat="1" applyFont="1" applyBorder="1" applyAlignment="1">
      <alignment horizontal="right" vertical="center"/>
    </xf>
    <xf numFmtId="0" fontId="42" fillId="0" borderId="14" xfId="0" applyFont="1" applyBorder="1" applyAlignment="1">
      <alignment horizontal="center" vertical="center" wrapText="1"/>
    </xf>
    <xf numFmtId="0" fontId="42" fillId="0" borderId="14" xfId="0" applyFont="1" applyBorder="1" applyAlignment="1">
      <alignment horizontal="right" vertical="center" wrapText="1"/>
    </xf>
    <xf numFmtId="176" fontId="43" fillId="0" borderId="14" xfId="5" applyNumberFormat="1" applyFont="1" applyBorder="1" applyAlignment="1">
      <alignment horizontal="right" vertical="center" shrinkToFit="1"/>
    </xf>
    <xf numFmtId="0" fontId="40" fillId="0" borderId="0" xfId="8" applyFont="1" applyAlignment="1">
      <alignment horizontal="center" vertical="center"/>
    </xf>
    <xf numFmtId="0" fontId="9" fillId="0" borderId="0" xfId="0" applyFont="1" applyAlignment="1" applyProtection="1">
      <alignment horizontal="center"/>
      <protection locked="0"/>
    </xf>
    <xf numFmtId="0" fontId="0" fillId="0" borderId="0" xfId="0" applyAlignment="1" applyProtection="1">
      <alignment horizontal="center"/>
      <protection locked="0"/>
    </xf>
    <xf numFmtId="49" fontId="43" fillId="0" borderId="14" xfId="5" applyNumberFormat="1" applyFont="1" applyBorder="1" applyAlignment="1">
      <alignment horizontal="center" vertical="center" shrinkToFit="1"/>
    </xf>
    <xf numFmtId="174" fontId="43" fillId="0" borderId="14" xfId="5" applyNumberFormat="1" applyFont="1" applyBorder="1" applyAlignment="1">
      <alignment horizontal="center" vertical="center"/>
    </xf>
    <xf numFmtId="0" fontId="16" fillId="0" borderId="14" xfId="0" applyFont="1" applyFill="1" applyBorder="1" applyAlignment="1" applyProtection="1">
      <alignment horizontal="center" vertical="center" wrapText="1"/>
      <protection locked="0"/>
    </xf>
    <xf numFmtId="44" fontId="16" fillId="3" borderId="14" xfId="2" applyFont="1" applyFill="1" applyBorder="1" applyAlignment="1" applyProtection="1">
      <alignment horizontal="right" vertical="center"/>
      <protection locked="0"/>
    </xf>
    <xf numFmtId="44" fontId="16" fillId="3" borderId="14" xfId="0" applyNumberFormat="1" applyFont="1" applyFill="1" applyBorder="1" applyAlignment="1" applyProtection="1">
      <alignment vertical="center"/>
      <protection locked="0"/>
    </xf>
    <xf numFmtId="0" fontId="51" fillId="3" borderId="14" xfId="12" applyFont="1" applyFill="1" applyBorder="1" applyAlignment="1">
      <alignment horizontal="left" vertical="top" wrapText="1"/>
    </xf>
    <xf numFmtId="0" fontId="52" fillId="3" borderId="14" xfId="17" applyFont="1" applyFill="1" applyBorder="1" applyAlignment="1">
      <alignment horizontal="left"/>
    </xf>
    <xf numFmtId="0" fontId="50" fillId="0" borderId="14" xfId="17" applyFont="1" applyBorder="1" applyAlignment="1">
      <alignment horizontal="center" vertical="center"/>
    </xf>
    <xf numFmtId="176" fontId="50" fillId="0" borderId="14" xfId="17" applyNumberFormat="1" applyFont="1" applyBorder="1" applyAlignment="1">
      <alignment horizontal="right" vertical="center" shrinkToFit="1"/>
    </xf>
    <xf numFmtId="4" fontId="50" fillId="0" borderId="14" xfId="17" applyNumberFormat="1" applyFont="1" applyBorder="1" applyAlignment="1">
      <alignment horizontal="right" vertical="center" shrinkToFit="1"/>
    </xf>
    <xf numFmtId="0" fontId="50" fillId="0" borderId="14" xfId="17" applyFont="1" applyBorder="1" applyAlignment="1">
      <alignment horizontal="justify" vertical="top" wrapText="1"/>
    </xf>
    <xf numFmtId="0" fontId="50" fillId="0" borderId="14" xfId="17" applyFont="1" applyBorder="1" applyAlignment="1">
      <alignment horizontal="center" vertical="top"/>
    </xf>
    <xf numFmtId="176" fontId="50" fillId="0" borderId="14" xfId="17" applyNumberFormat="1" applyFont="1" applyBorder="1" applyAlignment="1">
      <alignment horizontal="right" vertical="top" shrinkToFit="1"/>
    </xf>
    <xf numFmtId="4" fontId="50" fillId="0" borderId="14" xfId="17" applyNumberFormat="1" applyFont="1" applyBorder="1" applyAlignment="1">
      <alignment horizontal="right" vertical="top" shrinkToFit="1"/>
    </xf>
    <xf numFmtId="0" fontId="52" fillId="3" borderId="14" xfId="17" applyFont="1" applyFill="1" applyBorder="1" applyAlignment="1">
      <alignment horizontal="left"/>
    </xf>
    <xf numFmtId="0" fontId="50" fillId="0" borderId="14" xfId="17" applyFont="1" applyBorder="1" applyAlignment="1">
      <alignment horizontal="justify" vertical="top" wrapText="1"/>
    </xf>
    <xf numFmtId="0" fontId="50" fillId="0" borderId="14" xfId="17" applyFont="1" applyBorder="1" applyAlignment="1">
      <alignment horizontal="center" vertical="top"/>
    </xf>
    <xf numFmtId="176" fontId="50" fillId="0" borderId="14" xfId="17" applyNumberFormat="1" applyFont="1" applyBorder="1" applyAlignment="1">
      <alignment horizontal="right" vertical="top" shrinkToFit="1"/>
    </xf>
    <xf numFmtId="4" fontId="50" fillId="0" borderId="14" xfId="17" applyNumberFormat="1" applyFont="1" applyBorder="1" applyAlignment="1">
      <alignment horizontal="right" vertical="top" shrinkToFit="1"/>
    </xf>
    <xf numFmtId="0" fontId="52" fillId="3" borderId="14" xfId="17" applyFont="1" applyFill="1" applyBorder="1" applyAlignment="1">
      <alignment horizontal="left"/>
    </xf>
    <xf numFmtId="0" fontId="50" fillId="0" borderId="14" xfId="17" applyFont="1" applyBorder="1" applyAlignment="1">
      <alignment horizontal="justify" vertical="top" wrapText="1"/>
    </xf>
    <xf numFmtId="0" fontId="50" fillId="0" borderId="14" xfId="17" applyFont="1" applyBorder="1" applyAlignment="1">
      <alignment horizontal="center" vertical="top"/>
    </xf>
    <xf numFmtId="176" fontId="50" fillId="0" borderId="14" xfId="17" applyNumberFormat="1" applyFont="1" applyBorder="1" applyAlignment="1">
      <alignment horizontal="right" vertical="top" shrinkToFit="1"/>
    </xf>
    <xf numFmtId="4" fontId="50" fillId="0" borderId="14" xfId="17" applyNumberFormat="1" applyFont="1" applyBorder="1" applyAlignment="1">
      <alignment horizontal="right" vertical="top" shrinkToFit="1"/>
    </xf>
    <xf numFmtId="0" fontId="50" fillId="0" borderId="14" xfId="17" applyFont="1" applyBorder="1" applyAlignment="1">
      <alignment horizontal="justify" vertical="top"/>
    </xf>
    <xf numFmtId="0" fontId="51" fillId="3" borderId="14" xfId="17" applyFont="1" applyFill="1" applyBorder="1" applyAlignment="1">
      <alignment horizontal="justify" vertical="top" wrapText="1"/>
    </xf>
    <xf numFmtId="0" fontId="50" fillId="0" borderId="14" xfId="17" applyFont="1" applyBorder="1" applyAlignment="1">
      <alignment horizontal="justify" vertical="top" wrapText="1"/>
    </xf>
    <xf numFmtId="0" fontId="50" fillId="0" borderId="14" xfId="17" applyFont="1" applyBorder="1" applyAlignment="1">
      <alignment horizontal="center" vertical="top"/>
    </xf>
    <xf numFmtId="176" fontId="50" fillId="0" borderId="14" xfId="17" applyNumberFormat="1" applyFont="1" applyBorder="1" applyAlignment="1">
      <alignment horizontal="right" vertical="top" shrinkToFit="1"/>
    </xf>
    <xf numFmtId="4" fontId="50" fillId="0" borderId="14" xfId="17" applyNumberFormat="1" applyFont="1" applyBorder="1" applyAlignment="1">
      <alignment horizontal="right" vertical="top" shrinkToFit="1"/>
    </xf>
    <xf numFmtId="0" fontId="51" fillId="3" borderId="14" xfId="17" applyFont="1" applyFill="1" applyBorder="1" applyAlignment="1">
      <alignment horizontal="justify" vertical="top" wrapText="1"/>
    </xf>
    <xf numFmtId="0" fontId="50" fillId="0" borderId="14" xfId="17" applyFont="1" applyBorder="1" applyAlignment="1">
      <alignment horizontal="justify" vertical="top" wrapText="1"/>
    </xf>
    <xf numFmtId="0" fontId="50" fillId="0" borderId="14" xfId="17" applyFont="1" applyBorder="1" applyAlignment="1">
      <alignment horizontal="center" vertical="top"/>
    </xf>
    <xf numFmtId="176" fontId="50" fillId="0" borderId="14" xfId="17" applyNumberFormat="1" applyFont="1" applyBorder="1" applyAlignment="1">
      <alignment horizontal="right" vertical="top" shrinkToFit="1"/>
    </xf>
    <xf numFmtId="4" fontId="50" fillId="0" borderId="14" xfId="17" applyNumberFormat="1" applyFont="1" applyBorder="1" applyAlignment="1">
      <alignment horizontal="right" vertical="top" shrinkToFit="1"/>
    </xf>
    <xf numFmtId="0" fontId="51" fillId="3" borderId="14" xfId="17" applyFont="1" applyFill="1" applyBorder="1" applyAlignment="1">
      <alignment horizontal="justify" vertical="top" wrapText="1"/>
    </xf>
    <xf numFmtId="0" fontId="50" fillId="0" borderId="14" xfId="17" applyFont="1" applyBorder="1" applyAlignment="1">
      <alignment horizontal="justify" vertical="top" wrapText="1"/>
    </xf>
    <xf numFmtId="0" fontId="50" fillId="0" borderId="14" xfId="17" applyFont="1" applyBorder="1" applyAlignment="1">
      <alignment horizontal="center" vertical="top"/>
    </xf>
    <xf numFmtId="176" fontId="50" fillId="0" borderId="14" xfId="17" applyNumberFormat="1" applyFont="1" applyBorder="1" applyAlignment="1">
      <alignment horizontal="right" vertical="top" shrinkToFit="1"/>
    </xf>
    <xf numFmtId="4" fontId="50" fillId="0" borderId="14" xfId="17" applyNumberFormat="1" applyFont="1" applyBorder="1" applyAlignment="1">
      <alignment horizontal="right" vertical="top" shrinkToFit="1"/>
    </xf>
    <xf numFmtId="0" fontId="51" fillId="3" borderId="14" xfId="17" applyFont="1" applyFill="1" applyBorder="1" applyAlignment="1">
      <alignment horizontal="justify" vertical="top" wrapText="1"/>
    </xf>
    <xf numFmtId="0" fontId="50" fillId="0" borderId="14" xfId="17" applyFont="1" applyBorder="1" applyAlignment="1">
      <alignment horizontal="justify" vertical="top" wrapText="1"/>
    </xf>
    <xf numFmtId="0" fontId="50" fillId="0" borderId="14" xfId="17" applyFont="1" applyBorder="1" applyAlignment="1">
      <alignment horizontal="center" vertical="top"/>
    </xf>
    <xf numFmtId="176" fontId="50" fillId="0" borderId="14" xfId="17" applyNumberFormat="1" applyFont="1" applyBorder="1" applyAlignment="1">
      <alignment horizontal="right" vertical="top" shrinkToFit="1"/>
    </xf>
    <xf numFmtId="4" fontId="50" fillId="0" borderId="14" xfId="17" applyNumberFormat="1" applyFont="1" applyBorder="1" applyAlignment="1">
      <alignment horizontal="right" vertical="top" shrinkToFit="1"/>
    </xf>
    <xf numFmtId="0" fontId="51" fillId="3" borderId="14" xfId="17" applyFont="1" applyFill="1" applyBorder="1" applyAlignment="1">
      <alignment horizontal="justify" vertical="top" wrapText="1"/>
    </xf>
    <xf numFmtId="0" fontId="50" fillId="0" borderId="14" xfId="17" applyFont="1" applyBorder="1" applyAlignment="1">
      <alignment horizontal="justify" vertical="top" wrapText="1"/>
    </xf>
    <xf numFmtId="0" fontId="50" fillId="0" borderId="14" xfId="17" applyFont="1" applyBorder="1" applyAlignment="1">
      <alignment horizontal="center" vertical="top"/>
    </xf>
    <xf numFmtId="176" fontId="50" fillId="0" borderId="14" xfId="17" applyNumberFormat="1" applyFont="1" applyBorder="1" applyAlignment="1">
      <alignment horizontal="right" vertical="top" shrinkToFit="1"/>
    </xf>
    <xf numFmtId="4" fontId="50" fillId="0" borderId="14" xfId="17" applyNumberFormat="1" applyFont="1" applyBorder="1" applyAlignment="1">
      <alignment horizontal="right" vertical="top" shrinkToFit="1"/>
    </xf>
    <xf numFmtId="0" fontId="51" fillId="3" borderId="14" xfId="17" applyFont="1" applyFill="1" applyBorder="1" applyAlignment="1">
      <alignment horizontal="justify" vertical="top" wrapText="1"/>
    </xf>
    <xf numFmtId="0" fontId="50" fillId="0" borderId="14" xfId="17" applyFont="1" applyBorder="1" applyAlignment="1">
      <alignment horizontal="justify" vertical="top" wrapText="1"/>
    </xf>
    <xf numFmtId="0" fontId="50" fillId="0" borderId="14" xfId="17" applyFont="1" applyBorder="1" applyAlignment="1">
      <alignment horizontal="center" vertical="top"/>
    </xf>
    <xf numFmtId="176" fontId="50" fillId="0" borderId="14" xfId="17" applyNumberFormat="1" applyFont="1" applyBorder="1" applyAlignment="1">
      <alignment horizontal="right" vertical="top" shrinkToFit="1"/>
    </xf>
    <xf numFmtId="4" fontId="50" fillId="0" borderId="14" xfId="17" applyNumberFormat="1" applyFont="1" applyBorder="1" applyAlignment="1">
      <alignment horizontal="right" vertical="top" shrinkToFit="1"/>
    </xf>
    <xf numFmtId="0" fontId="51" fillId="3" borderId="14" xfId="17" applyFont="1" applyFill="1" applyBorder="1" applyAlignment="1">
      <alignment horizontal="justify" vertical="top" wrapText="1"/>
    </xf>
    <xf numFmtId="0" fontId="50" fillId="0" borderId="14" xfId="17" applyFont="1" applyBorder="1" applyAlignment="1">
      <alignment horizontal="justify" vertical="top" wrapText="1"/>
    </xf>
    <xf numFmtId="0" fontId="50" fillId="0" borderId="14" xfId="17" applyFont="1" applyBorder="1" applyAlignment="1">
      <alignment horizontal="center" vertical="top"/>
    </xf>
    <xf numFmtId="176" fontId="50" fillId="0" borderId="14" xfId="17" applyNumberFormat="1" applyFont="1" applyBorder="1" applyAlignment="1">
      <alignment horizontal="right" vertical="top" shrinkToFit="1"/>
    </xf>
    <xf numFmtId="4" fontId="50" fillId="0" borderId="14" xfId="17" applyNumberFormat="1" applyFont="1" applyBorder="1" applyAlignment="1">
      <alignment horizontal="right" vertical="top" shrinkToFit="1"/>
    </xf>
    <xf numFmtId="0" fontId="51" fillId="3" borderId="14" xfId="17" applyFont="1" applyFill="1" applyBorder="1" applyAlignment="1">
      <alignment horizontal="justify" vertical="top" wrapText="1"/>
    </xf>
    <xf numFmtId="0" fontId="50" fillId="0" borderId="14" xfId="17" applyFont="1" applyBorder="1" applyAlignment="1">
      <alignment horizontal="justify" vertical="top" wrapText="1"/>
    </xf>
    <xf numFmtId="0" fontId="50" fillId="0" borderId="14" xfId="17" applyFont="1" applyBorder="1" applyAlignment="1">
      <alignment horizontal="center" vertical="top"/>
    </xf>
    <xf numFmtId="176" fontId="50" fillId="0" borderId="14" xfId="17" applyNumberFormat="1" applyFont="1" applyBorder="1" applyAlignment="1">
      <alignment horizontal="right" vertical="top" shrinkToFit="1"/>
    </xf>
    <xf numFmtId="4" fontId="50" fillId="0" borderId="14" xfId="17" applyNumberFormat="1" applyFont="1" applyBorder="1" applyAlignment="1">
      <alignment horizontal="right" vertical="top" shrinkToFit="1"/>
    </xf>
    <xf numFmtId="2" fontId="40" fillId="0" borderId="14" xfId="0" applyNumberFormat="1" applyFont="1" applyBorder="1" applyAlignment="1">
      <alignment horizontal="right" vertical="center" wrapText="1"/>
    </xf>
    <xf numFmtId="0" fontId="4" fillId="0" borderId="14" xfId="0" applyFont="1" applyBorder="1" applyAlignment="1" applyProtection="1">
      <alignment horizontal="center" vertical="center"/>
      <protection locked="0"/>
    </xf>
    <xf numFmtId="0" fontId="49" fillId="0" borderId="14" xfId="17" applyFont="1" applyBorder="1"/>
    <xf numFmtId="4" fontId="50" fillId="0" borderId="14" xfId="17" applyNumberFormat="1" applyFont="1" applyBorder="1" applyAlignment="1">
      <alignment horizontal="right" vertical="center" shrinkToFit="1"/>
    </xf>
    <xf numFmtId="178" fontId="50" fillId="0" borderId="14" xfId="17" applyNumberFormat="1" applyFont="1" applyBorder="1" applyAlignment="1">
      <alignment horizontal="right" vertical="center" shrinkToFit="1"/>
    </xf>
    <xf numFmtId="0" fontId="51" fillId="27" borderId="14" xfId="17" applyFont="1" applyFill="1" applyBorder="1" applyAlignment="1">
      <alignment horizontal="justify" vertical="top" wrapText="1"/>
    </xf>
    <xf numFmtId="0" fontId="50" fillId="27" borderId="14" xfId="17" applyFont="1" applyFill="1" applyBorder="1" applyAlignment="1">
      <alignment horizontal="center" vertical="top"/>
    </xf>
    <xf numFmtId="176" fontId="50" fillId="27" borderId="14" xfId="17" applyNumberFormat="1" applyFont="1" applyFill="1" applyBorder="1" applyAlignment="1">
      <alignment horizontal="right" vertical="top" shrinkToFit="1"/>
    </xf>
    <xf numFmtId="4" fontId="50" fillId="27" borderId="14" xfId="17" applyNumberFormat="1" applyFont="1" applyFill="1" applyBorder="1" applyAlignment="1">
      <alignment horizontal="right" vertical="top" shrinkToFit="1"/>
    </xf>
    <xf numFmtId="0" fontId="16" fillId="0" borderId="14" xfId="17" applyFont="1" applyBorder="1" applyAlignment="1">
      <alignment horizontal="center"/>
    </xf>
    <xf numFmtId="177" fontId="50" fillId="5" borderId="14" xfId="17" applyNumberFormat="1" applyFont="1" applyFill="1" applyBorder="1" applyAlignment="1">
      <alignment horizontal="right"/>
    </xf>
    <xf numFmtId="0" fontId="16" fillId="0" borderId="14" xfId="17" applyFont="1" applyBorder="1" applyAlignment="1">
      <alignment horizontal="right"/>
    </xf>
    <xf numFmtId="178" fontId="50" fillId="0" borderId="14" xfId="17" applyNumberFormat="1" applyFont="1" applyBorder="1" applyAlignment="1">
      <alignment vertical="center" shrinkToFit="1"/>
    </xf>
    <xf numFmtId="176" fontId="50" fillId="0" borderId="14" xfId="17" applyNumberFormat="1" applyFont="1" applyBorder="1" applyAlignment="1">
      <alignment vertical="center" shrinkToFit="1"/>
    </xf>
    <xf numFmtId="0" fontId="50" fillId="0" borderId="14" xfId="17" applyFont="1" applyBorder="1" applyAlignment="1">
      <alignment horizontal="justify" vertical="center" shrinkToFit="1"/>
    </xf>
    <xf numFmtId="0" fontId="50" fillId="0" borderId="14" xfId="17" applyFont="1" applyBorder="1" applyAlignment="1">
      <alignment horizontal="center" vertical="center"/>
    </xf>
    <xf numFmtId="0" fontId="50" fillId="0" borderId="14" xfId="17" applyFont="1" applyBorder="1" applyAlignment="1">
      <alignment horizontal="center" vertical="top"/>
    </xf>
    <xf numFmtId="4" fontId="50" fillId="0" borderId="14" xfId="17" applyNumberFormat="1" applyFont="1" applyBorder="1" applyAlignment="1">
      <alignment horizontal="right" vertical="top" shrinkToFit="1"/>
    </xf>
    <xf numFmtId="0" fontId="50" fillId="0" borderId="14" xfId="17" applyFont="1" applyBorder="1" applyAlignment="1">
      <alignment horizontal="justify" vertical="top" shrinkToFit="1"/>
    </xf>
    <xf numFmtId="0" fontId="50" fillId="0" borderId="14" xfId="17" applyFont="1" applyBorder="1" applyAlignment="1">
      <alignment horizontal="center"/>
    </xf>
    <xf numFmtId="177" fontId="50" fillId="0" borderId="14" xfId="17" applyNumberFormat="1" applyFont="1" applyBorder="1" applyAlignment="1">
      <alignment horizontal="right"/>
    </xf>
    <xf numFmtId="175" fontId="50" fillId="5" borderId="14" xfId="17" applyNumberFormat="1" applyFont="1" applyFill="1" applyBorder="1" applyAlignment="1">
      <alignment horizontal="right"/>
    </xf>
    <xf numFmtId="175" fontId="50" fillId="0" borderId="14" xfId="17" applyNumberFormat="1" applyFont="1" applyBorder="1" applyAlignment="1">
      <alignment horizontal="right"/>
    </xf>
    <xf numFmtId="178" fontId="50" fillId="0" borderId="14" xfId="17" applyNumberFormat="1" applyFont="1" applyBorder="1" applyAlignment="1">
      <alignment horizontal="right" vertical="top" shrinkToFit="1"/>
    </xf>
    <xf numFmtId="175" fontId="50" fillId="0" borderId="14" xfId="17" applyNumberFormat="1" applyFont="1" applyBorder="1" applyAlignment="1">
      <alignment horizontal="right" vertical="top"/>
    </xf>
    <xf numFmtId="175" fontId="50" fillId="0" borderId="14" xfId="17" applyNumberFormat="1" applyFont="1" applyBorder="1" applyAlignment="1">
      <alignment horizontal="right" vertical="center"/>
    </xf>
    <xf numFmtId="177" fontId="50" fillId="0" borderId="14" xfId="17" applyNumberFormat="1" applyFont="1" applyBorder="1" applyAlignment="1">
      <alignment horizontal="right" vertical="center"/>
    </xf>
    <xf numFmtId="178" fontId="49" fillId="0" borderId="14" xfId="17" applyNumberFormat="1" applyFont="1" applyBorder="1" applyAlignment="1" applyProtection="1">
      <alignment horizontal="right" vertical="center" wrapText="1"/>
      <protection locked="0"/>
    </xf>
    <xf numFmtId="2" fontId="49" fillId="0" borderId="14" xfId="17" applyNumberFormat="1" applyFont="1" applyBorder="1" applyAlignment="1">
      <alignment horizontal="right" vertical="center"/>
    </xf>
    <xf numFmtId="177" fontId="50" fillId="0" borderId="14" xfId="17" applyNumberFormat="1" applyFont="1" applyBorder="1" applyAlignment="1">
      <alignment horizontal="right" vertical="top"/>
    </xf>
    <xf numFmtId="2" fontId="49" fillId="0" borderId="14" xfId="17" applyNumberFormat="1" applyFont="1" applyBorder="1" applyAlignment="1">
      <alignment horizontal="right"/>
    </xf>
    <xf numFmtId="0" fontId="50" fillId="5" borderId="14" xfId="17" applyFont="1" applyFill="1" applyBorder="1" applyAlignment="1">
      <alignment horizontal="justify" vertical="top" shrinkToFit="1"/>
    </xf>
    <xf numFmtId="0" fontId="50" fillId="5" borderId="14" xfId="17" applyFont="1" applyFill="1" applyBorder="1" applyAlignment="1">
      <alignment horizontal="center" vertical="center"/>
    </xf>
    <xf numFmtId="0" fontId="53" fillId="5" borderId="14" xfId="17" applyFont="1" applyFill="1" applyBorder="1" applyAlignment="1">
      <alignment horizontal="justify" vertical="top" shrinkToFit="1"/>
    </xf>
    <xf numFmtId="0" fontId="51" fillId="27" borderId="14" xfId="17" applyFont="1" applyFill="1" applyBorder="1" applyAlignment="1">
      <alignment horizontal="justify" vertical="top" shrinkToFit="1"/>
    </xf>
    <xf numFmtId="177" fontId="50" fillId="27" borderId="14" xfId="17" applyNumberFormat="1" applyFont="1" applyFill="1" applyBorder="1" applyAlignment="1">
      <alignment horizontal="right" vertical="center"/>
    </xf>
    <xf numFmtId="175" fontId="50" fillId="27" borderId="14" xfId="17" applyNumberFormat="1" applyFont="1" applyFill="1" applyBorder="1" applyAlignment="1">
      <alignment horizontal="right" vertical="center"/>
    </xf>
    <xf numFmtId="175" fontId="50" fillId="5" borderId="14" xfId="17" applyNumberFormat="1" applyFont="1" applyFill="1" applyBorder="1" applyAlignment="1">
      <alignment horizontal="right" vertical="center"/>
    </xf>
    <xf numFmtId="0" fontId="53" fillId="0" borderId="14" xfId="17" applyFont="1" applyBorder="1" applyAlignment="1">
      <alignment horizontal="justify" vertical="center" wrapText="1"/>
    </xf>
    <xf numFmtId="179" fontId="24" fillId="24" borderId="8" xfId="2" applyNumberFormat="1" applyFont="1" applyFill="1" applyBorder="1" applyAlignment="1">
      <alignment horizontal="left" vertical="center" wrapText="1" indent="2"/>
    </xf>
    <xf numFmtId="0" fontId="3" fillId="0" borderId="27" xfId="0" applyFont="1" applyBorder="1" applyAlignment="1">
      <alignment horizontal="justify" vertical="center" wrapText="1"/>
    </xf>
    <xf numFmtId="0" fontId="6" fillId="3" borderId="15" xfId="0" applyFont="1" applyFill="1" applyBorder="1" applyAlignment="1">
      <alignment vertical="center" wrapText="1"/>
    </xf>
    <xf numFmtId="0" fontId="45" fillId="0" borderId="0" xfId="10" applyFill="1" applyProtection="1"/>
    <xf numFmtId="0" fontId="45" fillId="0" borderId="0" xfId="10" applyFont="1" applyFill="1" applyProtection="1"/>
    <xf numFmtId="0" fontId="45" fillId="3" borderId="0" xfId="10" applyFont="1" applyFill="1" applyProtection="1"/>
    <xf numFmtId="0" fontId="45" fillId="0" borderId="0" xfId="10" applyFill="1" applyBorder="1" applyProtection="1"/>
    <xf numFmtId="0" fontId="55" fillId="0" borderId="0" xfId="10" applyFont="1" applyFill="1" applyProtection="1"/>
    <xf numFmtId="0" fontId="56" fillId="0" borderId="0" xfId="10" applyFont="1" applyFill="1" applyBorder="1" applyAlignment="1" applyProtection="1">
      <alignment vertical="center" wrapText="1"/>
    </xf>
    <xf numFmtId="2" fontId="56" fillId="0" borderId="0" xfId="10" applyNumberFormat="1" applyFont="1" applyFill="1" applyBorder="1" applyAlignment="1" applyProtection="1">
      <alignment vertical="center" wrapText="1"/>
    </xf>
    <xf numFmtId="2" fontId="45" fillId="0" borderId="15" xfId="10" applyNumberFormat="1" applyFont="1" applyFill="1" applyBorder="1" applyProtection="1"/>
    <xf numFmtId="2" fontId="41" fillId="0" borderId="14" xfId="10" applyNumberFormat="1" applyFont="1" applyBorder="1" applyAlignment="1">
      <alignment horizontal="right" vertical="center"/>
    </xf>
    <xf numFmtId="0" fontId="42" fillId="0" borderId="14" xfId="10" applyFont="1" applyBorder="1" applyAlignment="1">
      <alignment horizontal="center" vertical="center"/>
    </xf>
    <xf numFmtId="0" fontId="42" fillId="0" borderId="14" xfId="10" applyFont="1" applyBorder="1" applyAlignment="1">
      <alignment vertical="center" wrapText="1"/>
    </xf>
    <xf numFmtId="0" fontId="45" fillId="0" borderId="13" xfId="10" applyFill="1" applyBorder="1" applyAlignment="1" applyProtection="1">
      <alignment horizontal="center" vertical="center"/>
    </xf>
    <xf numFmtId="0" fontId="41" fillId="0" borderId="14" xfId="10" applyFont="1" applyBorder="1" applyAlignment="1">
      <alignment horizontal="left" vertical="center"/>
    </xf>
    <xf numFmtId="0" fontId="41" fillId="0" borderId="14" xfId="10" applyFont="1" applyBorder="1" applyAlignment="1">
      <alignment horizontal="right" vertical="center"/>
    </xf>
    <xf numFmtId="0" fontId="41" fillId="0" borderId="14" xfId="10" applyFont="1" applyBorder="1" applyAlignment="1">
      <alignment horizontal="center" vertical="center"/>
    </xf>
    <xf numFmtId="0" fontId="42" fillId="0" borderId="14" xfId="10" applyFont="1" applyBorder="1" applyAlignment="1">
      <alignment horizontal="left" vertical="center" wrapText="1"/>
    </xf>
    <xf numFmtId="0" fontId="41" fillId="0" borderId="14" xfId="10" applyFont="1" applyBorder="1" applyAlignment="1">
      <alignment horizontal="left" vertical="center" wrapText="1"/>
    </xf>
    <xf numFmtId="0" fontId="45" fillId="0" borderId="40" xfId="10" applyFill="1" applyBorder="1" applyProtection="1"/>
    <xf numFmtId="0" fontId="45" fillId="0" borderId="39" xfId="10" applyFill="1" applyBorder="1" applyProtection="1"/>
    <xf numFmtId="0" fontId="57" fillId="0" borderId="39" xfId="10" applyFont="1" applyFill="1" applyBorder="1" applyProtection="1"/>
    <xf numFmtId="0" fontId="45" fillId="0" borderId="38" xfId="10" applyFill="1" applyBorder="1" applyProtection="1"/>
    <xf numFmtId="0" fontId="56" fillId="0" borderId="47" xfId="10" applyFont="1" applyFill="1" applyBorder="1" applyAlignment="1" applyProtection="1">
      <alignment horizontal="center" vertical="center" wrapText="1"/>
    </xf>
    <xf numFmtId="0" fontId="56" fillId="0" borderId="45" xfId="10" applyFont="1" applyFill="1" applyBorder="1" applyAlignment="1" applyProtection="1">
      <alignment horizontal="center" vertical="center" wrapText="1"/>
    </xf>
    <xf numFmtId="0" fontId="56" fillId="0" borderId="64" xfId="10" applyFont="1" applyFill="1" applyBorder="1" applyAlignment="1" applyProtection="1">
      <alignment horizontal="center" vertical="center" wrapText="1"/>
    </xf>
    <xf numFmtId="0" fontId="45" fillId="0" borderId="0" xfId="10" applyFill="1" applyAlignment="1" applyProtection="1"/>
    <xf numFmtId="0" fontId="46" fillId="0" borderId="0" xfId="11" applyFont="1"/>
    <xf numFmtId="175" fontId="47" fillId="0" borderId="0" xfId="11" applyNumberFormat="1" applyFont="1"/>
    <xf numFmtId="49" fontId="47" fillId="0" borderId="0" xfId="11" applyNumberFormat="1" applyFont="1"/>
    <xf numFmtId="49" fontId="18" fillId="0" borderId="0" xfId="11" applyNumberFormat="1" applyFont="1" applyAlignment="1">
      <alignment wrapText="1"/>
    </xf>
    <xf numFmtId="0" fontId="46" fillId="5" borderId="0" xfId="11" applyFont="1" applyFill="1"/>
    <xf numFmtId="175" fontId="46" fillId="0" borderId="0" xfId="11" applyNumberFormat="1" applyFont="1"/>
    <xf numFmtId="49" fontId="28" fillId="0" borderId="0" xfId="11" applyNumberFormat="1" applyFont="1"/>
    <xf numFmtId="175" fontId="47" fillId="0" borderId="54" xfId="11" applyNumberFormat="1" applyFont="1" applyBorder="1"/>
    <xf numFmtId="175" fontId="47" fillId="0" borderId="51" xfId="11" applyNumberFormat="1" applyFont="1" applyBorder="1"/>
    <xf numFmtId="49" fontId="47" fillId="0" borderId="51" xfId="11" applyNumberFormat="1" applyFont="1" applyBorder="1"/>
    <xf numFmtId="49" fontId="28" fillId="0" borderId="52" xfId="11" applyNumberFormat="1" applyFont="1" applyBorder="1"/>
    <xf numFmtId="175" fontId="28" fillId="0" borderId="65" xfId="11" applyNumberFormat="1" applyFont="1" applyBorder="1" applyAlignment="1">
      <alignment horizontal="center" shrinkToFit="1"/>
    </xf>
    <xf numFmtId="175" fontId="47" fillId="5" borderId="66" xfId="11" applyNumberFormat="1" applyFont="1" applyFill="1" applyBorder="1"/>
    <xf numFmtId="175" fontId="47" fillId="5" borderId="67" xfId="11" applyNumberFormat="1" applyFont="1" applyFill="1" applyBorder="1"/>
    <xf numFmtId="175" fontId="28" fillId="5" borderId="68" xfId="11" applyNumberFormat="1" applyFont="1" applyFill="1" applyBorder="1"/>
    <xf numFmtId="49" fontId="47" fillId="0" borderId="19" xfId="11" applyNumberFormat="1" applyFont="1" applyBorder="1"/>
    <xf numFmtId="175" fontId="47" fillId="0" borderId="65" xfId="11" applyNumberFormat="1" applyFont="1" applyBorder="1" applyAlignment="1">
      <alignment horizontal="center" shrinkToFit="1"/>
    </xf>
    <xf numFmtId="175" fontId="47" fillId="0" borderId="65" xfId="11" applyNumberFormat="1" applyFont="1" applyBorder="1" applyAlignment="1">
      <alignment horizontal="center"/>
    </xf>
    <xf numFmtId="180" fontId="47" fillId="5" borderId="66" xfId="11" applyNumberFormat="1" applyFont="1" applyFill="1" applyBorder="1" applyAlignment="1">
      <alignment horizontal="center"/>
    </xf>
    <xf numFmtId="175" fontId="60" fillId="0" borderId="0" xfId="11" applyNumberFormat="1" applyFont="1"/>
    <xf numFmtId="175" fontId="28" fillId="5" borderId="65" xfId="11" applyNumberFormat="1" applyFont="1" applyFill="1" applyBorder="1" applyAlignment="1">
      <alignment horizontal="center"/>
    </xf>
    <xf numFmtId="175" fontId="47" fillId="0" borderId="69" xfId="11" applyNumberFormat="1" applyFont="1" applyBorder="1"/>
    <xf numFmtId="49" fontId="47" fillId="0" borderId="69" xfId="11" applyNumberFormat="1" applyFont="1" applyBorder="1"/>
    <xf numFmtId="49" fontId="28" fillId="0" borderId="70" xfId="11" applyNumberFormat="1" applyFont="1" applyBorder="1"/>
    <xf numFmtId="175" fontId="47" fillId="0" borderId="71" xfId="11" applyNumberFormat="1" applyFont="1" applyBorder="1" applyAlignment="1">
      <alignment horizontal="center" vertical="center"/>
    </xf>
    <xf numFmtId="175" fontId="47" fillId="5" borderId="72" xfId="11" applyNumberFormat="1" applyFont="1" applyFill="1" applyBorder="1" applyAlignment="1">
      <alignment horizontal="center" vertical="center"/>
    </xf>
    <xf numFmtId="181" fontId="47" fillId="5" borderId="73" xfId="11" applyNumberFormat="1" applyFont="1" applyFill="1" applyBorder="1" applyAlignment="1">
      <alignment horizontal="center" vertical="center"/>
    </xf>
    <xf numFmtId="175" fontId="47" fillId="0" borderId="73" xfId="11" applyNumberFormat="1" applyFont="1" applyBorder="1" applyAlignment="1">
      <alignment horizontal="center" vertical="center" wrapText="1"/>
    </xf>
    <xf numFmtId="181" fontId="47" fillId="5" borderId="72" xfId="11" applyNumberFormat="1" applyFont="1" applyFill="1" applyBorder="1" applyAlignment="1">
      <alignment horizontal="center" vertical="center"/>
    </xf>
    <xf numFmtId="175" fontId="47" fillId="0" borderId="72" xfId="11" applyNumberFormat="1" applyFont="1" applyBorder="1" applyAlignment="1">
      <alignment horizontal="center" vertical="center" wrapText="1"/>
    </xf>
    <xf numFmtId="0" fontId="47" fillId="0" borderId="75" xfId="11" applyFont="1" applyBorder="1" applyAlignment="1">
      <alignment shrinkToFit="1"/>
    </xf>
    <xf numFmtId="0" fontId="47" fillId="0" borderId="76" xfId="11" applyFont="1" applyBorder="1" applyAlignment="1">
      <alignment shrinkToFit="1"/>
    </xf>
    <xf numFmtId="49" fontId="47" fillId="0" borderId="77" xfId="11" applyNumberFormat="1" applyFont="1" applyBorder="1" applyAlignment="1">
      <alignment shrinkToFit="1"/>
    </xf>
    <xf numFmtId="181" fontId="47" fillId="5" borderId="73" xfId="11" applyNumberFormat="1" applyFont="1" applyFill="1" applyBorder="1" applyAlignment="1">
      <alignment horizontal="center"/>
    </xf>
    <xf numFmtId="175" fontId="28" fillId="30" borderId="20" xfId="11" applyNumberFormat="1" applyFont="1" applyFill="1" applyBorder="1" applyAlignment="1">
      <alignment horizontal="center" wrapText="1"/>
    </xf>
    <xf numFmtId="175" fontId="28" fillId="30" borderId="0" xfId="11" applyNumberFormat="1" applyFont="1" applyFill="1" applyAlignment="1">
      <alignment horizontal="center" wrapText="1"/>
    </xf>
    <xf numFmtId="175" fontId="28" fillId="30" borderId="0" xfId="11" applyNumberFormat="1" applyFont="1" applyFill="1"/>
    <xf numFmtId="49" fontId="28" fillId="30" borderId="0" xfId="11" applyNumberFormat="1" applyFont="1" applyFill="1"/>
    <xf numFmtId="49" fontId="28" fillId="30" borderId="19" xfId="11" applyNumberFormat="1" applyFont="1" applyFill="1" applyBorder="1" applyAlignment="1">
      <alignment wrapText="1"/>
    </xf>
    <xf numFmtId="175" fontId="28" fillId="30" borderId="20" xfId="11" applyNumberFormat="1" applyFont="1" applyFill="1" applyBorder="1" applyAlignment="1">
      <alignment horizontal="center"/>
    </xf>
    <xf numFmtId="175" fontId="28" fillId="30" borderId="0" xfId="11" applyNumberFormat="1" applyFont="1" applyFill="1" applyAlignment="1">
      <alignment horizontal="center"/>
    </xf>
    <xf numFmtId="49" fontId="28" fillId="30" borderId="19" xfId="11" applyNumberFormat="1" applyFont="1" applyFill="1" applyBorder="1"/>
    <xf numFmtId="175" fontId="28" fillId="5" borderId="20" xfId="11" applyNumberFormat="1" applyFont="1" applyFill="1" applyBorder="1" applyAlignment="1">
      <alignment horizontal="center"/>
    </xf>
    <xf numFmtId="49" fontId="28" fillId="0" borderId="19" xfId="11" applyNumberFormat="1" applyFont="1" applyBorder="1"/>
    <xf numFmtId="175" fontId="47" fillId="0" borderId="65" xfId="11" applyNumberFormat="1" applyFont="1" applyBorder="1" applyAlignment="1">
      <alignment horizontal="center" vertical="center"/>
    </xf>
    <xf numFmtId="175" fontId="47" fillId="5" borderId="69" xfId="11" applyNumberFormat="1" applyFont="1" applyFill="1" applyBorder="1" applyAlignment="1">
      <alignment horizontal="center" vertical="center"/>
    </xf>
    <xf numFmtId="175" fontId="47" fillId="0" borderId="73" xfId="11" applyNumberFormat="1" applyFont="1" applyBorder="1" applyAlignment="1">
      <alignment horizontal="center"/>
    </xf>
    <xf numFmtId="175" fontId="47" fillId="5" borderId="73" xfId="11" applyNumberFormat="1" applyFont="1" applyFill="1" applyBorder="1" applyAlignment="1">
      <alignment horizontal="center"/>
    </xf>
    <xf numFmtId="49" fontId="61" fillId="0" borderId="66" xfId="11" applyNumberFormat="1" applyFont="1" applyBorder="1" applyAlignment="1">
      <alignment horizontal="center"/>
    </xf>
    <xf numFmtId="49" fontId="47" fillId="0" borderId="70" xfId="11" applyNumberFormat="1" applyFont="1" applyBorder="1"/>
    <xf numFmtId="49" fontId="60" fillId="30" borderId="0" xfId="11" applyNumberFormat="1" applyFont="1" applyFill="1"/>
    <xf numFmtId="175" fontId="62" fillId="0" borderId="66" xfId="11" applyNumberFormat="1" applyFont="1" applyBorder="1" applyAlignment="1">
      <alignment horizontal="center"/>
    </xf>
    <xf numFmtId="175" fontId="62" fillId="0" borderId="67" xfId="11" applyNumberFormat="1" applyFont="1" applyBorder="1" applyAlignment="1">
      <alignment horizontal="center"/>
    </xf>
    <xf numFmtId="175" fontId="62" fillId="0" borderId="68" xfId="11" applyNumberFormat="1" applyFont="1" applyBorder="1" applyAlignment="1">
      <alignment horizontal="center"/>
    </xf>
    <xf numFmtId="49" fontId="47" fillId="0" borderId="66" xfId="11" applyNumberFormat="1" applyFont="1" applyBorder="1"/>
    <xf numFmtId="175" fontId="60" fillId="0" borderId="20" xfId="11" applyNumberFormat="1" applyFont="1" applyBorder="1"/>
    <xf numFmtId="49" fontId="60" fillId="0" borderId="0" xfId="11" applyNumberFormat="1" applyFont="1"/>
    <xf numFmtId="175" fontId="28" fillId="0" borderId="0" xfId="11" applyNumberFormat="1" applyFont="1" applyAlignment="1">
      <alignment horizontal="right"/>
    </xf>
    <xf numFmtId="182" fontId="47" fillId="0" borderId="0" xfId="11" applyNumberFormat="1" applyFont="1" applyAlignment="1">
      <alignment horizontal="left"/>
    </xf>
    <xf numFmtId="0" fontId="18" fillId="10" borderId="14" xfId="0" applyFont="1" applyFill="1" applyBorder="1" applyAlignment="1" applyProtection="1">
      <alignment horizontal="center" vertical="center"/>
      <protection locked="0"/>
    </xf>
    <xf numFmtId="0" fontId="26" fillId="10" borderId="14" xfId="0" applyFont="1" applyFill="1" applyBorder="1" applyAlignment="1" applyProtection="1">
      <alignment horizontal="center" vertical="center" wrapText="1"/>
      <protection locked="0"/>
    </xf>
    <xf numFmtId="0" fontId="26" fillId="10" borderId="14" xfId="0" applyFont="1" applyFill="1" applyBorder="1" applyAlignment="1" applyProtection="1">
      <alignment horizontal="center" vertical="center"/>
      <protection locked="0"/>
    </xf>
    <xf numFmtId="0" fontId="26" fillId="20" borderId="14" xfId="0" applyFont="1" applyFill="1" applyBorder="1" applyAlignment="1" applyProtection="1">
      <alignment horizontal="center" vertical="center" wrapText="1"/>
      <protection locked="0"/>
    </xf>
    <xf numFmtId="0" fontId="23" fillId="18" borderId="14" xfId="0" applyFont="1" applyFill="1" applyBorder="1" applyAlignment="1">
      <alignment horizontal="center" vertical="center" wrapText="1"/>
    </xf>
    <xf numFmtId="0" fontId="18" fillId="10" borderId="14" xfId="0" applyFont="1" applyFill="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9" fillId="0" borderId="14" xfId="0" applyFont="1" applyBorder="1" applyAlignment="1" applyProtection="1">
      <alignment horizontal="center" vertical="center"/>
      <protection locked="0"/>
    </xf>
    <xf numFmtId="44" fontId="9" fillId="0" borderId="14" xfId="2" applyNumberFormat="1" applyFont="1" applyBorder="1" applyAlignment="1" applyProtection="1">
      <alignment horizontal="center" vertical="center"/>
      <protection locked="0"/>
    </xf>
    <xf numFmtId="44" fontId="9" fillId="2" borderId="14" xfId="2" applyNumberFormat="1" applyFont="1" applyFill="1" applyBorder="1" applyAlignment="1" applyProtection="1">
      <alignment vertical="center"/>
      <protection locked="0"/>
    </xf>
    <xf numFmtId="10" fontId="9" fillId="2" borderId="14" xfId="2" applyNumberFormat="1" applyFont="1" applyFill="1" applyBorder="1" applyAlignment="1" applyProtection="1">
      <alignment horizontal="center" vertical="center"/>
      <protection locked="0"/>
    </xf>
    <xf numFmtId="170" fontId="9" fillId="0" borderId="14" xfId="2" applyNumberFormat="1" applyFont="1" applyBorder="1" applyAlignment="1" applyProtection="1">
      <alignment horizontal="center" vertical="center"/>
      <protection locked="0"/>
    </xf>
    <xf numFmtId="0" fontId="7" fillId="0" borderId="14" xfId="0" applyFont="1" applyBorder="1" applyAlignment="1" applyProtection="1">
      <alignment vertical="center" wrapText="1"/>
      <protection locked="0"/>
    </xf>
    <xf numFmtId="44" fontId="11" fillId="20" borderId="14" xfId="0" applyNumberFormat="1" applyFont="1" applyFill="1" applyBorder="1" applyAlignment="1" applyProtection="1">
      <alignment vertical="center"/>
    </xf>
    <xf numFmtId="0" fontId="11" fillId="20" borderId="14" xfId="0" applyFont="1" applyFill="1" applyBorder="1" applyAlignment="1" applyProtection="1">
      <alignment vertical="center"/>
    </xf>
    <xf numFmtId="44" fontId="18" fillId="20" borderId="14" xfId="2" applyNumberFormat="1" applyFont="1" applyFill="1" applyBorder="1" applyAlignment="1" applyProtection="1">
      <alignment vertical="center"/>
      <protection locked="0"/>
    </xf>
    <xf numFmtId="44" fontId="11" fillId="20" borderId="14" xfId="2" applyNumberFormat="1" applyFont="1" applyFill="1" applyBorder="1" applyAlignment="1" applyProtection="1">
      <alignment vertical="center"/>
      <protection locked="0"/>
    </xf>
    <xf numFmtId="44" fontId="9" fillId="20" borderId="14" xfId="2" applyNumberFormat="1" applyFont="1" applyFill="1" applyBorder="1" applyAlignment="1" applyProtection="1">
      <alignment vertical="center"/>
      <protection locked="0"/>
    </xf>
    <xf numFmtId="44" fontId="9" fillId="20" borderId="14" xfId="2" applyNumberFormat="1" applyFont="1" applyFill="1" applyBorder="1" applyAlignment="1" applyProtection="1">
      <alignment vertical="center"/>
    </xf>
    <xf numFmtId="43" fontId="14" fillId="5" borderId="14" xfId="0" applyNumberFormat="1" applyFont="1" applyFill="1" applyBorder="1" applyAlignment="1" applyProtection="1">
      <protection locked="0"/>
    </xf>
    <xf numFmtId="43" fontId="14" fillId="5" borderId="14" xfId="1" applyFont="1" applyFill="1" applyBorder="1" applyAlignment="1" applyProtection="1">
      <alignment vertical="center"/>
      <protection locked="0"/>
    </xf>
    <xf numFmtId="0" fontId="16" fillId="0" borderId="14" xfId="0" applyFont="1" applyBorder="1" applyAlignment="1" applyProtection="1">
      <alignment horizontal="left" vertical="center" wrapText="1"/>
      <protection locked="0"/>
    </xf>
    <xf numFmtId="44" fontId="16" fillId="5" borderId="14" xfId="2" applyFont="1" applyFill="1" applyBorder="1" applyAlignment="1" applyProtection="1">
      <alignment horizontal="right" vertical="center"/>
      <protection locked="0"/>
    </xf>
    <xf numFmtId="10" fontId="16" fillId="0" borderId="14" xfId="2" applyNumberFormat="1" applyFont="1" applyBorder="1" applyAlignment="1" applyProtection="1">
      <alignment horizontal="right" vertical="center"/>
      <protection locked="0"/>
    </xf>
    <xf numFmtId="44" fontId="16" fillId="0" borderId="14" xfId="2" applyFont="1" applyBorder="1" applyAlignment="1" applyProtection="1">
      <alignment horizontal="right" vertical="center"/>
      <protection locked="0"/>
    </xf>
    <xf numFmtId="44" fontId="16" fillId="0" borderId="14" xfId="2" applyNumberFormat="1" applyFont="1" applyBorder="1" applyAlignment="1" applyProtection="1">
      <alignment vertical="center"/>
      <protection locked="0"/>
    </xf>
    <xf numFmtId="0" fontId="15" fillId="20" borderId="14" xfId="0" applyFont="1" applyFill="1" applyBorder="1" applyAlignment="1" applyProtection="1">
      <alignment vertical="center"/>
    </xf>
    <xf numFmtId="0" fontId="15" fillId="20" borderId="14" xfId="0" applyFont="1" applyFill="1" applyBorder="1" applyAlignment="1" applyProtection="1">
      <alignment horizontal="center" vertical="center"/>
    </xf>
    <xf numFmtId="4" fontId="16" fillId="20" borderId="14" xfId="0" applyNumberFormat="1" applyFont="1" applyFill="1" applyBorder="1" applyAlignment="1" applyProtection="1">
      <alignment horizontal="left" vertical="center" wrapText="1"/>
      <protection locked="0"/>
    </xf>
    <xf numFmtId="44" fontId="15" fillId="20" borderId="14" xfId="2" applyFont="1" applyFill="1" applyBorder="1" applyAlignment="1" applyProtection="1">
      <alignment horizontal="right" vertical="center"/>
      <protection locked="0"/>
    </xf>
    <xf numFmtId="44" fontId="16" fillId="0" borderId="14" xfId="2" applyFont="1" applyBorder="1" applyAlignment="1" applyProtection="1">
      <alignment horizontal="center" vertical="center"/>
      <protection locked="0"/>
    </xf>
    <xf numFmtId="44" fontId="15" fillId="20" borderId="14" xfId="0" applyNumberFormat="1" applyFont="1" applyFill="1" applyBorder="1" applyAlignment="1" applyProtection="1">
      <alignment vertical="center"/>
      <protection locked="0"/>
    </xf>
    <xf numFmtId="169" fontId="15" fillId="20" borderId="14" xfId="2" applyNumberFormat="1" applyFont="1" applyFill="1" applyBorder="1" applyAlignment="1" applyProtection="1">
      <alignment horizontal="right" vertical="center"/>
      <protection locked="0"/>
    </xf>
    <xf numFmtId="44" fontId="16" fillId="5" borderId="14" xfId="0" applyNumberFormat="1" applyFont="1" applyFill="1" applyBorder="1" applyAlignment="1" applyProtection="1">
      <alignment vertical="center"/>
      <protection locked="0"/>
    </xf>
    <xf numFmtId="44" fontId="16" fillId="0" borderId="14" xfId="0" applyNumberFormat="1" applyFont="1" applyBorder="1" applyAlignment="1" applyProtection="1">
      <alignment vertical="center"/>
      <protection locked="0"/>
    </xf>
    <xf numFmtId="0" fontId="50" fillId="27" borderId="14" xfId="17" applyFont="1" applyFill="1" applyBorder="1" applyAlignment="1">
      <alignment horizontal="center" vertical="center"/>
    </xf>
    <xf numFmtId="44" fontId="15" fillId="16" borderId="14" xfId="0" applyNumberFormat="1" applyFont="1" applyFill="1" applyBorder="1" applyAlignment="1" applyProtection="1">
      <alignment vertical="center"/>
      <protection locked="0"/>
    </xf>
    <xf numFmtId="0" fontId="16" fillId="0" borderId="14" xfId="0" applyFont="1" applyFill="1" applyBorder="1" applyAlignment="1" applyProtection="1">
      <alignment vertical="center" wrapText="1"/>
      <protection locked="0"/>
    </xf>
    <xf numFmtId="0" fontId="46" fillId="0" borderId="14" xfId="0" applyFont="1" applyFill="1" applyBorder="1" applyAlignment="1" applyProtection="1">
      <alignment horizontal="center" vertical="center" wrapText="1"/>
      <protection locked="0"/>
    </xf>
    <xf numFmtId="44" fontId="16" fillId="0" borderId="14" xfId="0" applyNumberFormat="1"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3" borderId="14" xfId="0" applyFont="1" applyFill="1" applyBorder="1" applyAlignment="1" applyProtection="1">
      <alignment vertical="center"/>
      <protection locked="0"/>
    </xf>
    <xf numFmtId="44" fontId="16" fillId="16" borderId="14" xfId="0" applyNumberFormat="1" applyFont="1" applyFill="1" applyBorder="1" applyProtection="1">
      <protection locked="0"/>
    </xf>
    <xf numFmtId="44" fontId="16" fillId="14" borderId="14" xfId="0" applyNumberFormat="1" applyFont="1" applyFill="1" applyBorder="1" applyProtection="1">
      <protection locked="0"/>
    </xf>
    <xf numFmtId="0" fontId="2" fillId="0" borderId="14" xfId="0" applyFont="1" applyBorder="1" applyAlignment="1" applyProtection="1">
      <alignment vertical="center" wrapText="1"/>
      <protection locked="0"/>
    </xf>
    <xf numFmtId="0" fontId="2" fillId="0" borderId="14" xfId="0" applyFont="1" applyBorder="1" applyAlignment="1" applyProtection="1">
      <alignment horizontal="center" vertical="center"/>
      <protection locked="0"/>
    </xf>
    <xf numFmtId="44" fontId="15" fillId="3" borderId="14" xfId="1" applyNumberFormat="1" applyFont="1" applyFill="1" applyBorder="1" applyAlignment="1">
      <alignment vertical="center"/>
    </xf>
    <xf numFmtId="49" fontId="41" fillId="0" borderId="14" xfId="0" applyNumberFormat="1" applyFont="1" applyBorder="1" applyAlignment="1">
      <alignment horizontal="center" vertical="center"/>
    </xf>
    <xf numFmtId="49" fontId="46" fillId="3" borderId="0" xfId="11" applyNumberFormat="1" applyFont="1" applyFill="1"/>
    <xf numFmtId="0" fontId="11" fillId="20" borderId="14" xfId="0" applyFont="1" applyFill="1" applyBorder="1" applyAlignment="1" applyProtection="1">
      <alignment horizontal="center" vertical="center"/>
    </xf>
    <xf numFmtId="0" fontId="15" fillId="3" borderId="14" xfId="0" applyFont="1" applyFill="1" applyBorder="1" applyAlignment="1" applyProtection="1">
      <alignment horizontal="left" vertical="center" wrapText="1"/>
      <protection locked="0"/>
    </xf>
    <xf numFmtId="0" fontId="26" fillId="15" borderId="14" xfId="0" applyFont="1" applyFill="1" applyBorder="1" applyAlignment="1" applyProtection="1">
      <alignment horizontal="left" vertical="center" wrapText="1"/>
      <protection locked="0"/>
    </xf>
    <xf numFmtId="0" fontId="26" fillId="14" borderId="14" xfId="0" applyFont="1" applyFill="1" applyBorder="1" applyAlignment="1" applyProtection="1">
      <alignment horizontal="left" vertical="center"/>
      <protection locked="0"/>
    </xf>
    <xf numFmtId="0" fontId="25" fillId="3" borderId="14" xfId="0" applyFont="1" applyFill="1" applyBorder="1" applyAlignment="1" applyProtection="1">
      <alignment horizontal="left" vertical="center" wrapText="1"/>
      <protection locked="0"/>
    </xf>
    <xf numFmtId="0" fontId="18" fillId="12" borderId="14" xfId="0" applyFont="1" applyFill="1" applyBorder="1" applyAlignment="1" applyProtection="1">
      <alignment horizontal="left" vertical="center" wrapText="1"/>
      <protection locked="0"/>
    </xf>
    <xf numFmtId="0" fontId="26" fillId="14" borderId="14" xfId="0" applyFont="1" applyFill="1" applyBorder="1" applyAlignment="1" applyProtection="1">
      <alignment horizontal="center" vertical="center" wrapText="1"/>
      <protection locked="0"/>
    </xf>
    <xf numFmtId="0" fontId="15" fillId="20" borderId="14" xfId="0" applyFont="1" applyFill="1" applyBorder="1" applyAlignment="1" applyProtection="1">
      <alignment horizontal="left" vertical="center"/>
      <protection locked="0"/>
    </xf>
    <xf numFmtId="0" fontId="26" fillId="16" borderId="14" xfId="0" applyFont="1" applyFill="1" applyBorder="1" applyAlignment="1" applyProtection="1">
      <alignment horizontal="left" vertical="center" wrapText="1"/>
      <protection locked="0"/>
    </xf>
    <xf numFmtId="0" fontId="18" fillId="14" borderId="14" xfId="0" applyFont="1" applyFill="1" applyBorder="1" applyAlignment="1" applyProtection="1">
      <alignment horizontal="center" vertical="center" wrapText="1"/>
      <protection locked="0"/>
    </xf>
    <xf numFmtId="0" fontId="27" fillId="3" borderId="14" xfId="0" applyFont="1" applyFill="1" applyBorder="1" applyAlignment="1" applyProtection="1">
      <alignment horizontal="left" vertical="top" wrapText="1"/>
      <protection locked="0"/>
    </xf>
    <xf numFmtId="0" fontId="18" fillId="10" borderId="14"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35" fillId="0" borderId="14" xfId="0" applyFont="1" applyBorder="1" applyAlignment="1" applyProtection="1">
      <alignment horizontal="center" vertical="center" wrapText="1"/>
      <protection locked="0"/>
    </xf>
    <xf numFmtId="0" fontId="26" fillId="10" borderId="14" xfId="0" applyFont="1" applyFill="1" applyBorder="1" applyAlignment="1" applyProtection="1">
      <alignment horizontal="center" vertical="center" wrapText="1"/>
      <protection locked="0"/>
    </xf>
    <xf numFmtId="0" fontId="26" fillId="10" borderId="14" xfId="0" applyFont="1" applyFill="1" applyBorder="1" applyAlignment="1" applyProtection="1">
      <alignment horizontal="center" vertical="center"/>
      <protection locked="0"/>
    </xf>
    <xf numFmtId="0" fontId="18" fillId="10" borderId="14" xfId="0" applyFont="1" applyFill="1" applyBorder="1" applyAlignment="1" applyProtection="1">
      <alignment horizontal="center" vertical="center" wrapText="1"/>
      <protection locked="0"/>
    </xf>
    <xf numFmtId="0" fontId="22" fillId="21" borderId="52" xfId="0" applyFont="1" applyFill="1" applyBorder="1" applyAlignment="1">
      <alignment horizontal="center" vertical="center" wrapText="1"/>
    </xf>
    <xf numFmtId="0" fontId="22" fillId="21" borderId="51" xfId="0" applyFont="1" applyFill="1" applyBorder="1" applyAlignment="1">
      <alignment horizontal="center" vertical="center" wrapText="1"/>
    </xf>
    <xf numFmtId="0" fontId="37" fillId="18" borderId="14" xfId="0" applyFont="1" applyFill="1" applyBorder="1" applyAlignment="1">
      <alignment horizontal="left" vertical="center" wrapText="1"/>
    </xf>
    <xf numFmtId="0" fontId="11" fillId="0" borderId="14" xfId="0" applyFont="1" applyBorder="1" applyAlignment="1">
      <alignment horizontal="center"/>
    </xf>
    <xf numFmtId="0" fontId="25" fillId="0" borderId="4" xfId="5" applyFont="1" applyBorder="1" applyAlignment="1">
      <alignment horizontal="center" vertical="center"/>
    </xf>
    <xf numFmtId="0" fontId="25" fillId="0" borderId="43" xfId="5" applyFont="1" applyBorder="1" applyAlignment="1">
      <alignment horizontal="center" vertical="center"/>
    </xf>
    <xf numFmtId="0" fontId="25" fillId="0" borderId="6" xfId="5" applyFont="1" applyBorder="1" applyAlignment="1">
      <alignment horizontal="center" vertical="center"/>
    </xf>
    <xf numFmtId="0" fontId="15" fillId="0" borderId="55" xfId="5" applyFont="1" applyBorder="1" applyAlignment="1">
      <alignment horizontal="center" vertical="center" wrapText="1"/>
    </xf>
    <xf numFmtId="0" fontId="15" fillId="0" borderId="6" xfId="5" applyFont="1" applyBorder="1" applyAlignment="1">
      <alignment horizontal="center" vertical="center" wrapText="1"/>
    </xf>
    <xf numFmtId="44" fontId="12" fillId="0" borderId="7" xfId="2" applyNumberFormat="1" applyFont="1" applyBorder="1" applyAlignment="1">
      <alignment horizontal="center" vertical="center" wrapText="1"/>
    </xf>
    <xf numFmtId="44" fontId="12" fillId="0" borderId="9" xfId="2" applyNumberFormat="1" applyFont="1" applyBorder="1" applyAlignment="1">
      <alignment horizontal="center" vertical="center" wrapText="1"/>
    </xf>
    <xf numFmtId="44" fontId="25" fillId="0" borderId="0" xfId="7" applyFont="1" applyBorder="1" applyAlignment="1">
      <alignment horizontal="center" vertical="center"/>
    </xf>
    <xf numFmtId="44" fontId="12" fillId="0" borderId="0" xfId="2" applyNumberFormat="1" applyFont="1" applyBorder="1" applyAlignment="1">
      <alignment horizontal="center" vertical="center" wrapText="1"/>
    </xf>
    <xf numFmtId="44" fontId="12" fillId="0" borderId="0" xfId="7" applyFont="1" applyBorder="1" applyAlignment="1">
      <alignment horizontal="center" vertical="center"/>
    </xf>
    <xf numFmtId="44" fontId="12" fillId="20" borderId="4" xfId="2" applyNumberFormat="1" applyFont="1" applyFill="1" applyBorder="1" applyAlignment="1">
      <alignment horizontal="center" vertical="center" wrapText="1"/>
    </xf>
    <xf numFmtId="44" fontId="12" fillId="20" borderId="6" xfId="2" applyNumberFormat="1" applyFont="1" applyFill="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4" fillId="13" borderId="7" xfId="0" applyFont="1" applyFill="1" applyBorder="1" applyAlignment="1">
      <alignment horizontal="center" vertical="center" wrapText="1"/>
    </xf>
    <xf numFmtId="0" fontId="24" fillId="13" borderId="8"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30" fillId="22" borderId="41" xfId="0" applyFont="1" applyFill="1" applyBorder="1" applyAlignment="1">
      <alignment horizontal="left" vertical="center" wrapText="1"/>
    </xf>
    <xf numFmtId="0" fontId="30" fillId="22" borderId="42" xfId="0" applyFont="1" applyFill="1" applyBorder="1" applyAlignment="1">
      <alignment horizontal="left" vertical="center" wrapText="1"/>
    </xf>
    <xf numFmtId="0" fontId="30" fillId="22" borderId="46" xfId="0" applyFont="1" applyFill="1" applyBorder="1" applyAlignment="1">
      <alignment horizontal="left" vertical="center" wrapText="1"/>
    </xf>
    <xf numFmtId="0" fontId="24" fillId="13" borderId="28" xfId="0" applyFont="1" applyFill="1" applyBorder="1" applyAlignment="1">
      <alignment horizontal="center" vertical="center" wrapText="1"/>
    </xf>
    <xf numFmtId="0" fontId="24" fillId="13" borderId="34" xfId="0" applyFont="1" applyFill="1" applyBorder="1" applyAlignment="1">
      <alignment horizontal="center" vertical="center" wrapText="1"/>
    </xf>
    <xf numFmtId="0" fontId="25" fillId="0" borderId="4" xfId="5" applyFont="1" applyBorder="1" applyAlignment="1">
      <alignment horizontal="left" vertical="center"/>
    </xf>
    <xf numFmtId="0" fontId="25" fillId="0" borderId="6" xfId="5" applyFont="1" applyBorder="1" applyAlignment="1">
      <alignment horizontal="left" vertical="center"/>
    </xf>
    <xf numFmtId="0" fontId="54" fillId="5" borderId="14" xfId="0" applyFont="1" applyFill="1" applyBorder="1" applyAlignment="1">
      <alignment horizontal="center" vertical="center" wrapText="1"/>
    </xf>
    <xf numFmtId="0" fontId="11" fillId="10" borderId="7" xfId="0" applyFont="1" applyFill="1" applyBorder="1" applyAlignment="1">
      <alignment horizontal="center" vertical="center"/>
    </xf>
    <xf numFmtId="0" fontId="11" fillId="10" borderId="8" xfId="0" applyFont="1" applyFill="1" applyBorder="1" applyAlignment="1">
      <alignment horizontal="center" vertical="center"/>
    </xf>
    <xf numFmtId="0" fontId="11" fillId="10" borderId="9" xfId="0" applyFont="1" applyFill="1" applyBorder="1" applyAlignment="1">
      <alignment horizontal="center" vertical="center"/>
    </xf>
    <xf numFmtId="0" fontId="11" fillId="5" borderId="7" xfId="0" applyFont="1" applyFill="1" applyBorder="1" applyAlignment="1">
      <alignment horizontal="left" vertical="center"/>
    </xf>
    <xf numFmtId="0" fontId="11" fillId="5" borderId="8" xfId="0" applyFont="1" applyFill="1" applyBorder="1" applyAlignment="1">
      <alignment horizontal="left" vertical="center"/>
    </xf>
    <xf numFmtId="0" fontId="11" fillId="5" borderId="9" xfId="0" applyFont="1" applyFill="1" applyBorder="1" applyAlignment="1">
      <alignment horizontal="left" vertical="center"/>
    </xf>
    <xf numFmtId="0" fontId="11" fillId="9" borderId="24" xfId="0" applyFont="1" applyFill="1" applyBorder="1" applyAlignment="1">
      <alignment horizontal="center" vertical="center"/>
    </xf>
    <xf numFmtId="0" fontId="11" fillId="9" borderId="25" xfId="0" applyFont="1" applyFill="1" applyBorder="1" applyAlignment="1">
      <alignment horizontal="center" vertical="center"/>
    </xf>
    <xf numFmtId="0" fontId="11" fillId="9" borderId="26" xfId="0" applyFont="1" applyFill="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11" fillId="9" borderId="7" xfId="0" applyFont="1" applyFill="1" applyBorder="1" applyAlignment="1">
      <alignment horizontal="center" vertical="center"/>
    </xf>
    <xf numFmtId="0" fontId="11" fillId="9" borderId="8" xfId="0" applyFont="1" applyFill="1" applyBorder="1" applyAlignment="1">
      <alignment horizontal="center" vertical="center"/>
    </xf>
    <xf numFmtId="0" fontId="11" fillId="9" borderId="9" xfId="0" applyFont="1" applyFill="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7" xfId="0" applyFont="1" applyBorder="1" applyAlignment="1">
      <alignment horizontal="center" vertical="center"/>
    </xf>
    <xf numFmtId="0" fontId="16" fillId="0" borderId="52" xfId="0" applyFont="1" applyBorder="1" applyAlignment="1">
      <alignment horizontal="center" wrapText="1"/>
    </xf>
    <xf numFmtId="0" fontId="16" fillId="0" borderId="54" xfId="0" applyFont="1" applyBorder="1" applyAlignment="1">
      <alignment horizontal="center" wrapText="1"/>
    </xf>
    <xf numFmtId="0" fontId="16" fillId="0" borderId="14" xfId="0" applyFont="1" applyBorder="1" applyAlignment="1">
      <alignment horizontal="center" wrapText="1"/>
    </xf>
    <xf numFmtId="0" fontId="16" fillId="0" borderId="15" xfId="0" applyFont="1" applyBorder="1" applyAlignment="1">
      <alignment horizontal="center" wrapText="1"/>
    </xf>
    <xf numFmtId="0" fontId="39" fillId="25" borderId="0" xfId="0" applyFont="1" applyFill="1" applyAlignment="1">
      <alignment horizontal="center" wrapText="1"/>
    </xf>
    <xf numFmtId="0" fontId="15" fillId="0" borderId="56" xfId="0" applyFont="1" applyBorder="1" applyAlignment="1">
      <alignment horizontal="center"/>
    </xf>
    <xf numFmtId="0" fontId="15" fillId="0" borderId="48" xfId="0" applyFont="1" applyBorder="1" applyAlignment="1">
      <alignment horizontal="center"/>
    </xf>
    <xf numFmtId="0" fontId="16" fillId="0" borderId="38" xfId="0" applyFont="1" applyBorder="1" applyAlignment="1">
      <alignment horizontal="center" wrapText="1"/>
    </xf>
    <xf numFmtId="0" fontId="16" fillId="0" borderId="39" xfId="0" applyFont="1" applyBorder="1" applyAlignment="1">
      <alignment horizontal="center" wrapText="1"/>
    </xf>
    <xf numFmtId="0" fontId="16" fillId="0" borderId="40" xfId="0" applyFont="1" applyBorder="1" applyAlignment="1">
      <alignment horizontal="center" wrapText="1"/>
    </xf>
    <xf numFmtId="0" fontId="15" fillId="0" borderId="14" xfId="0" applyFont="1" applyBorder="1" applyAlignment="1">
      <alignment horizontal="center" wrapText="1"/>
    </xf>
    <xf numFmtId="0" fontId="15" fillId="0" borderId="15" xfId="0" applyFont="1" applyBorder="1" applyAlignment="1">
      <alignment horizont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15" fillId="0" borderId="14" xfId="0" applyFont="1" applyBorder="1" applyAlignment="1">
      <alignment horizontal="center"/>
    </xf>
    <xf numFmtId="0" fontId="15" fillId="0" borderId="15" xfId="0" applyFont="1" applyBorder="1" applyAlignment="1">
      <alignment horizont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15" fillId="3" borderId="19" xfId="0" applyFont="1" applyFill="1" applyBorder="1" applyAlignment="1">
      <alignment horizontal="center" wrapText="1"/>
    </xf>
    <xf numFmtId="0" fontId="15" fillId="3" borderId="20" xfId="0" applyFont="1" applyFill="1" applyBorder="1" applyAlignment="1">
      <alignment horizontal="center" wrapText="1"/>
    </xf>
    <xf numFmtId="0" fontId="15" fillId="0" borderId="4" xfId="0" applyFont="1" applyBorder="1" applyAlignment="1">
      <alignment horizontal="center"/>
    </xf>
    <xf numFmtId="0" fontId="15" fillId="0" borderId="6" xfId="0" applyFont="1" applyBorder="1" applyAlignment="1">
      <alignment horizontal="center"/>
    </xf>
    <xf numFmtId="0" fontId="15" fillId="6" borderId="35" xfId="0" applyFont="1" applyFill="1" applyBorder="1" applyAlignment="1">
      <alignment horizontal="center" vertical="center"/>
    </xf>
    <xf numFmtId="0" fontId="15" fillId="6" borderId="36" xfId="0" applyFont="1" applyFill="1" applyBorder="1" applyAlignment="1">
      <alignment horizontal="center" vertical="center"/>
    </xf>
    <xf numFmtId="0" fontId="15" fillId="6" borderId="37" xfId="0" applyFont="1" applyFill="1" applyBorder="1" applyAlignment="1">
      <alignment horizontal="center" vertical="center"/>
    </xf>
    <xf numFmtId="0" fontId="15" fillId="6" borderId="29" xfId="0" applyFont="1" applyFill="1" applyBorder="1" applyAlignment="1">
      <alignment horizontal="center" vertical="center"/>
    </xf>
    <xf numFmtId="0" fontId="15" fillId="6" borderId="30" xfId="0" applyFont="1" applyFill="1" applyBorder="1" applyAlignment="1">
      <alignment horizontal="center" vertical="center"/>
    </xf>
    <xf numFmtId="0" fontId="15" fillId="6" borderId="31" xfId="0" applyFont="1" applyFill="1" applyBorder="1" applyAlignment="1">
      <alignment horizontal="center" vertical="center"/>
    </xf>
    <xf numFmtId="0" fontId="25" fillId="0" borderId="1" xfId="0" applyFont="1" applyBorder="1" applyAlignment="1">
      <alignment horizontal="center"/>
    </xf>
    <xf numFmtId="0" fontId="25" fillId="0" borderId="2" xfId="0" applyFont="1" applyBorder="1" applyAlignment="1">
      <alignment horizontal="center"/>
    </xf>
    <xf numFmtId="0" fontId="25" fillId="0" borderId="3" xfId="0" applyFont="1" applyBorder="1" applyAlignment="1">
      <alignment horizont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40" fillId="0" borderId="0" xfId="8" applyFont="1" applyAlignment="1">
      <alignment horizontal="center" vertical="center" wrapText="1"/>
    </xf>
    <xf numFmtId="0" fontId="40" fillId="5" borderId="14" xfId="8" applyFont="1" applyFill="1" applyBorder="1" applyAlignment="1">
      <alignment horizontal="left" vertical="center" wrapText="1"/>
    </xf>
    <xf numFmtId="0" fontId="40" fillId="0" borderId="0" xfId="8" applyFont="1" applyAlignment="1">
      <alignment horizontal="center" vertical="center"/>
    </xf>
    <xf numFmtId="0" fontId="40" fillId="3" borderId="0" xfId="8" applyFont="1" applyFill="1" applyAlignment="1">
      <alignment horizontal="left" vertical="center" wrapText="1"/>
    </xf>
    <xf numFmtId="0" fontId="41" fillId="3" borderId="0" xfId="8" applyFont="1" applyFill="1" applyAlignment="1">
      <alignment horizontal="left" vertical="center" wrapText="1"/>
    </xf>
    <xf numFmtId="0" fontId="41" fillId="3" borderId="0" xfId="8" applyFont="1" applyFill="1" applyAlignment="1">
      <alignment horizontal="left" vertical="center"/>
    </xf>
    <xf numFmtId="0" fontId="48" fillId="0" borderId="0" xfId="8" applyFont="1" applyAlignment="1">
      <alignment horizontal="center"/>
    </xf>
    <xf numFmtId="0" fontId="40" fillId="0" borderId="0" xfId="8" applyFont="1" applyBorder="1" applyAlignment="1">
      <alignment horizontal="center" vertical="center"/>
    </xf>
    <xf numFmtId="0" fontId="40" fillId="0" borderId="57" xfId="8" applyFont="1" applyBorder="1" applyAlignment="1">
      <alignment horizontal="center" vertical="center"/>
    </xf>
    <xf numFmtId="0" fontId="44" fillId="5" borderId="14" xfId="8" applyFont="1" applyFill="1" applyBorder="1" applyAlignment="1">
      <alignment horizontal="left" vertical="center" wrapText="1"/>
    </xf>
    <xf numFmtId="0" fontId="41" fillId="0" borderId="0" xfId="8" applyFont="1" applyAlignment="1">
      <alignment horizontal="left" vertical="center" wrapText="1"/>
    </xf>
    <xf numFmtId="0" fontId="41" fillId="3" borderId="0" xfId="8" applyFont="1" applyFill="1" applyAlignment="1">
      <alignment horizontal="center" vertical="center" wrapText="1"/>
    </xf>
    <xf numFmtId="0" fontId="41" fillId="3" borderId="0" xfId="8" applyFont="1" applyFill="1" applyAlignment="1">
      <alignment horizontal="center" vertical="center"/>
    </xf>
    <xf numFmtId="0" fontId="40" fillId="0" borderId="14" xfId="8" applyFont="1" applyBorder="1" applyAlignment="1">
      <alignment horizontal="center" vertical="center"/>
    </xf>
    <xf numFmtId="0" fontId="40" fillId="0" borderId="14" xfId="8" applyFont="1" applyBorder="1" applyAlignment="1">
      <alignment horizontal="left" vertical="center"/>
    </xf>
    <xf numFmtId="0" fontId="40" fillId="0" borderId="0" xfId="8" applyFont="1" applyAlignment="1">
      <alignment horizontal="left" vertical="center"/>
    </xf>
    <xf numFmtId="0" fontId="40" fillId="0" borderId="14" xfId="8" applyFont="1" applyBorder="1" applyAlignment="1">
      <alignment horizontal="center" vertical="center" wrapText="1"/>
    </xf>
    <xf numFmtId="0" fontId="45" fillId="0" borderId="63" xfId="10" applyFill="1" applyBorder="1" applyAlignment="1" applyProtection="1">
      <alignment horizontal="center" vertical="center"/>
    </xf>
    <xf numFmtId="0" fontId="45" fillId="0" borderId="39" xfId="10" applyFill="1" applyBorder="1" applyAlignment="1" applyProtection="1">
      <alignment horizontal="center" vertical="center"/>
    </xf>
    <xf numFmtId="0" fontId="45" fillId="0" borderId="40" xfId="10" applyFill="1" applyBorder="1" applyAlignment="1" applyProtection="1">
      <alignment horizontal="center" vertical="center"/>
    </xf>
    <xf numFmtId="0" fontId="58" fillId="29" borderId="0" xfId="10" applyFont="1" applyFill="1" applyBorder="1" applyAlignment="1" applyProtection="1">
      <alignment horizontal="center" vertical="center" wrapText="1"/>
    </xf>
    <xf numFmtId="0" fontId="58" fillId="28" borderId="0" xfId="10" applyFont="1" applyFill="1" applyBorder="1" applyAlignment="1" applyProtection="1">
      <alignment horizontal="center" vertical="center" wrapText="1"/>
    </xf>
    <xf numFmtId="0" fontId="63" fillId="3" borderId="0" xfId="10" applyFont="1" applyFill="1" applyAlignment="1" applyProtection="1">
      <alignment horizontal="center" wrapText="1"/>
    </xf>
    <xf numFmtId="0" fontId="56" fillId="0" borderId="51" xfId="10" applyFont="1" applyFill="1" applyBorder="1" applyAlignment="1" applyProtection="1">
      <alignment horizontal="center" vertical="center" wrapText="1"/>
    </xf>
    <xf numFmtId="0" fontId="56" fillId="0" borderId="38" xfId="10" applyFont="1" applyFill="1" applyBorder="1" applyAlignment="1" applyProtection="1">
      <alignment horizontal="center" vertical="center"/>
    </xf>
    <xf numFmtId="0" fontId="56" fillId="0" borderId="16" xfId="10" applyFont="1" applyFill="1" applyBorder="1" applyAlignment="1" applyProtection="1">
      <alignment horizontal="center" vertical="center"/>
    </xf>
    <xf numFmtId="0" fontId="56" fillId="0" borderId="7" xfId="10" applyFont="1" applyFill="1" applyBorder="1" applyAlignment="1" applyProtection="1">
      <alignment horizontal="center" vertical="center" wrapText="1"/>
    </xf>
    <xf numFmtId="0" fontId="56" fillId="0" borderId="8" xfId="10" applyFont="1" applyFill="1" applyBorder="1" applyAlignment="1" applyProtection="1">
      <alignment horizontal="center" vertical="center" wrapText="1"/>
    </xf>
    <xf numFmtId="0" fontId="56" fillId="0" borderId="9" xfId="10" applyFont="1" applyFill="1" applyBorder="1" applyAlignment="1" applyProtection="1">
      <alignment horizontal="center" vertical="center" wrapText="1"/>
    </xf>
    <xf numFmtId="0" fontId="56" fillId="0" borderId="39" xfId="10" applyFont="1" applyFill="1" applyBorder="1" applyAlignment="1" applyProtection="1">
      <alignment horizontal="center" vertical="center" wrapText="1"/>
    </xf>
    <xf numFmtId="0" fontId="56" fillId="0" borderId="17" xfId="10" applyFont="1" applyFill="1" applyBorder="1" applyAlignment="1" applyProtection="1">
      <alignment horizontal="center" vertical="center" wrapText="1"/>
    </xf>
    <xf numFmtId="0" fontId="56" fillId="0" borderId="40" xfId="10" applyFont="1" applyFill="1" applyBorder="1" applyAlignment="1" applyProtection="1">
      <alignment horizontal="center" vertical="center" wrapText="1"/>
    </xf>
    <xf numFmtId="0" fontId="56" fillId="0" borderId="18" xfId="10" applyFont="1" applyFill="1" applyBorder="1" applyAlignment="1" applyProtection="1">
      <alignment horizontal="center" vertical="center" wrapText="1"/>
    </xf>
    <xf numFmtId="0" fontId="56" fillId="0" borderId="43" xfId="10" applyFont="1" applyFill="1" applyBorder="1" applyAlignment="1" applyProtection="1">
      <alignment horizontal="center" vertical="center" wrapText="1"/>
    </xf>
    <xf numFmtId="2" fontId="45" fillId="0" borderId="53" xfId="10" applyNumberFormat="1" applyFont="1" applyFill="1" applyBorder="1" applyAlignment="1" applyProtection="1">
      <alignment horizontal="center" vertical="center"/>
    </xf>
    <xf numFmtId="0" fontId="45" fillId="0" borderId="14" xfId="10" applyFill="1" applyBorder="1" applyAlignment="1" applyProtection="1">
      <alignment horizontal="center" vertical="center"/>
    </xf>
    <xf numFmtId="2" fontId="45" fillId="0" borderId="14" xfId="10" applyNumberFormat="1" applyFill="1" applyBorder="1" applyAlignment="1" applyProtection="1">
      <alignment horizontal="center" vertical="center"/>
    </xf>
    <xf numFmtId="2" fontId="45" fillId="0" borderId="15" xfId="10" applyNumberFormat="1" applyFill="1" applyBorder="1" applyAlignment="1" applyProtection="1">
      <alignment horizontal="center" vertical="center"/>
    </xf>
    <xf numFmtId="2" fontId="45" fillId="0" borderId="53" xfId="10" applyNumberFormat="1" applyFill="1" applyBorder="1" applyAlignment="1" applyProtection="1">
      <alignment horizontal="center" vertical="center"/>
    </xf>
    <xf numFmtId="2" fontId="45" fillId="0" borderId="61" xfId="10" applyNumberFormat="1" applyFill="1" applyBorder="1" applyAlignment="1" applyProtection="1">
      <alignment horizontal="center" vertical="center"/>
    </xf>
    <xf numFmtId="2" fontId="45" fillId="0" borderId="59" xfId="10" applyNumberFormat="1" applyFill="1" applyBorder="1" applyAlignment="1" applyProtection="1">
      <alignment horizontal="center" vertical="center"/>
    </xf>
    <xf numFmtId="0" fontId="56" fillId="0" borderId="0" xfId="10" applyFont="1" applyFill="1" applyBorder="1" applyAlignment="1" applyProtection="1">
      <alignment horizontal="left" vertical="center" wrapText="1"/>
    </xf>
    <xf numFmtId="2" fontId="45" fillId="0" borderId="29" xfId="10" applyNumberFormat="1" applyFill="1" applyBorder="1" applyAlignment="1" applyProtection="1">
      <alignment horizontal="center"/>
    </xf>
    <xf numFmtId="0" fontId="45" fillId="0" borderId="30" xfId="10" applyFill="1" applyBorder="1" applyAlignment="1" applyProtection="1">
      <alignment horizontal="center"/>
    </xf>
    <xf numFmtId="0" fontId="45" fillId="0" borderId="63" xfId="10" applyFill="1" applyBorder="1" applyAlignment="1" applyProtection="1">
      <alignment horizontal="center"/>
    </xf>
    <xf numFmtId="2" fontId="45" fillId="0" borderId="62" xfId="10" applyNumberFormat="1" applyFill="1" applyBorder="1" applyAlignment="1" applyProtection="1">
      <alignment horizontal="center"/>
    </xf>
    <xf numFmtId="2" fontId="45" fillId="0" borderId="60" xfId="10" applyNumberFormat="1" applyFill="1" applyBorder="1" applyAlignment="1" applyProtection="1">
      <alignment horizontal="center"/>
    </xf>
    <xf numFmtId="0" fontId="45" fillId="0" borderId="59" xfId="10" applyFill="1" applyBorder="1" applyAlignment="1" applyProtection="1">
      <alignment horizontal="center"/>
    </xf>
    <xf numFmtId="0" fontId="45" fillId="0" borderId="33" xfId="10" applyFill="1" applyBorder="1" applyAlignment="1" applyProtection="1">
      <alignment horizontal="center"/>
    </xf>
    <xf numFmtId="10" fontId="45" fillId="0" borderId="61" xfId="10" applyNumberFormat="1" applyFill="1" applyBorder="1" applyAlignment="1" applyProtection="1">
      <alignment horizontal="center"/>
    </xf>
    <xf numFmtId="10" fontId="45" fillId="0" borderId="59" xfId="10" applyNumberFormat="1" applyFill="1" applyBorder="1" applyAlignment="1" applyProtection="1">
      <alignment horizontal="center"/>
    </xf>
    <xf numFmtId="10" fontId="45" fillId="0" borderId="53" xfId="10" applyNumberFormat="1" applyFill="1" applyBorder="1" applyAlignment="1" applyProtection="1">
      <alignment horizontal="center"/>
    </xf>
    <xf numFmtId="10" fontId="45" fillId="0" borderId="60" xfId="10" applyNumberFormat="1" applyFill="1" applyBorder="1" applyAlignment="1" applyProtection="1">
      <alignment horizontal="center"/>
    </xf>
    <xf numFmtId="0" fontId="45" fillId="0" borderId="31" xfId="10" applyFill="1" applyBorder="1" applyAlignment="1" applyProtection="1">
      <alignment horizontal="center"/>
    </xf>
    <xf numFmtId="0" fontId="45" fillId="0" borderId="0" xfId="10" applyFont="1" applyFill="1" applyAlignment="1" applyProtection="1">
      <alignment horizontal="left" wrapText="1"/>
    </xf>
    <xf numFmtId="0" fontId="45" fillId="0" borderId="0" xfId="10" applyFill="1" applyAlignment="1" applyProtection="1">
      <alignment horizontal="left" wrapText="1"/>
    </xf>
    <xf numFmtId="0" fontId="45" fillId="3" borderId="0" xfId="10" applyFont="1" applyFill="1" applyAlignment="1" applyProtection="1">
      <alignment horizontal="center"/>
    </xf>
    <xf numFmtId="0" fontId="45" fillId="3" borderId="0" xfId="10" applyFill="1" applyAlignment="1" applyProtection="1">
      <alignment horizontal="center"/>
    </xf>
    <xf numFmtId="0" fontId="59" fillId="0" borderId="0" xfId="10" applyFont="1" applyFill="1" applyAlignment="1" applyProtection="1">
      <alignment horizontal="center"/>
    </xf>
    <xf numFmtId="10" fontId="45" fillId="0" borderId="35" xfId="10" applyNumberFormat="1" applyFill="1" applyBorder="1" applyAlignment="1" applyProtection="1">
      <alignment horizontal="center"/>
    </xf>
    <xf numFmtId="0" fontId="45" fillId="0" borderId="36" xfId="10" applyFill="1" applyBorder="1" applyAlignment="1" applyProtection="1">
      <alignment horizontal="center"/>
    </xf>
    <xf numFmtId="0" fontId="45" fillId="0" borderId="50" xfId="10" applyFill="1" applyBorder="1" applyAlignment="1" applyProtection="1">
      <alignment horizontal="center"/>
    </xf>
    <xf numFmtId="10" fontId="45" fillId="0" borderId="58" xfId="10" applyNumberFormat="1" applyFill="1" applyBorder="1" applyAlignment="1" applyProtection="1">
      <alignment horizontal="center"/>
    </xf>
    <xf numFmtId="0" fontId="45" fillId="0" borderId="37" xfId="10" applyFill="1" applyBorder="1" applyAlignment="1" applyProtection="1">
      <alignment horizontal="center"/>
    </xf>
    <xf numFmtId="10" fontId="45" fillId="0" borderId="33" xfId="10" applyNumberFormat="1" applyFill="1" applyBorder="1" applyAlignment="1" applyProtection="1">
      <alignment horizontal="center"/>
    </xf>
    <xf numFmtId="2" fontId="45" fillId="0" borderId="61" xfId="10" applyNumberFormat="1" applyFill="1" applyBorder="1" applyAlignment="1" applyProtection="1">
      <alignment horizontal="center"/>
    </xf>
    <xf numFmtId="2" fontId="45" fillId="0" borderId="59" xfId="10" applyNumberFormat="1" applyFill="1" applyBorder="1" applyAlignment="1" applyProtection="1">
      <alignment horizontal="center"/>
    </xf>
    <xf numFmtId="2" fontId="45" fillId="0" borderId="53" xfId="10" applyNumberFormat="1" applyFill="1" applyBorder="1" applyAlignment="1" applyProtection="1">
      <alignment horizontal="center"/>
    </xf>
    <xf numFmtId="0" fontId="45" fillId="0" borderId="53" xfId="10" applyFill="1" applyBorder="1" applyAlignment="1" applyProtection="1">
      <alignment horizontal="center"/>
    </xf>
    <xf numFmtId="49" fontId="47" fillId="0" borderId="77" xfId="11" applyNumberFormat="1" applyFont="1" applyBorder="1" applyAlignment="1">
      <alignment shrinkToFit="1"/>
    </xf>
    <xf numFmtId="0" fontId="47" fillId="0" borderId="76" xfId="11" applyFont="1" applyBorder="1" applyAlignment="1">
      <alignment shrinkToFit="1"/>
    </xf>
    <xf numFmtId="0" fontId="47" fillId="0" borderId="75" xfId="11" applyFont="1" applyBorder="1" applyAlignment="1">
      <alignment shrinkToFit="1"/>
    </xf>
    <xf numFmtId="49" fontId="47" fillId="0" borderId="74" xfId="11" applyNumberFormat="1" applyFont="1" applyBorder="1" applyAlignment="1">
      <alignment horizontal="left" shrinkToFit="1"/>
    </xf>
    <xf numFmtId="49" fontId="47" fillId="0" borderId="67" xfId="11" applyNumberFormat="1" applyFont="1" applyBorder="1" applyAlignment="1">
      <alignment horizontal="left" shrinkToFit="1"/>
    </xf>
    <xf numFmtId="49" fontId="47" fillId="0" borderId="66" xfId="11" applyNumberFormat="1" applyFont="1" applyBorder="1" applyAlignment="1">
      <alignment horizontal="left" shrinkToFit="1"/>
    </xf>
    <xf numFmtId="49" fontId="14" fillId="0" borderId="0" xfId="11" applyNumberFormat="1" applyFont="1" applyAlignment="1">
      <alignment horizontal="left" wrapText="1"/>
    </xf>
    <xf numFmtId="49" fontId="28" fillId="0" borderId="0" xfId="11" applyNumberFormat="1" applyFont="1" applyAlignment="1">
      <alignment horizontal="center"/>
    </xf>
    <xf numFmtId="175" fontId="47" fillId="0" borderId="20" xfId="11" applyNumberFormat="1" applyFont="1" applyBorder="1" applyAlignment="1">
      <alignment horizontal="center" wrapText="1"/>
    </xf>
    <xf numFmtId="175" fontId="47" fillId="0" borderId="0" xfId="11" applyNumberFormat="1" applyFont="1" applyAlignment="1">
      <alignment horizontal="center" wrapText="1"/>
    </xf>
    <xf numFmtId="49" fontId="28" fillId="0" borderId="1" xfId="11" applyNumberFormat="1" applyFont="1" applyBorder="1" applyAlignment="1">
      <alignment horizontal="center"/>
    </xf>
    <xf numFmtId="49" fontId="28" fillId="0" borderId="2" xfId="11" applyNumberFormat="1" applyFont="1" applyBorder="1" applyAlignment="1">
      <alignment horizontal="center"/>
    </xf>
    <xf numFmtId="49" fontId="28" fillId="0" borderId="3" xfId="11" applyNumberFormat="1" applyFont="1" applyBorder="1" applyAlignment="1">
      <alignment horizontal="center"/>
    </xf>
    <xf numFmtId="0" fontId="35" fillId="0" borderId="7"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cellXfs>
  <cellStyles count="20">
    <cellStyle name="Millares" xfId="1" builtinId="3"/>
    <cellStyle name="Millares 2" xfId="6"/>
    <cellStyle name="Millares 2 2" xfId="18"/>
    <cellStyle name="Millares 3" xfId="13"/>
    <cellStyle name="Moneda" xfId="2" builtinId="4"/>
    <cellStyle name="Moneda 2" xfId="4"/>
    <cellStyle name="Moneda 2 2" xfId="16"/>
    <cellStyle name="Moneda 3" xfId="7"/>
    <cellStyle name="Moneda 3 2" xfId="19"/>
    <cellStyle name="Moneda 4" xfId="14"/>
    <cellStyle name="Normal" xfId="0" builtinId="0"/>
    <cellStyle name="Normal 2" xfId="5"/>
    <cellStyle name="Normal 2 2" xfId="9"/>
    <cellStyle name="Normal 2 3" xfId="17"/>
    <cellStyle name="Normal 3" xfId="8"/>
    <cellStyle name="Normal 4" xfId="10"/>
    <cellStyle name="Normal 5" xfId="11"/>
    <cellStyle name="Normal 6" xfId="12"/>
    <cellStyle name="Porcentaje" xfId="3" builtinId="5"/>
    <cellStyle name="Porcentaje 2" xfId="15"/>
  </cellStyles>
  <dxfs count="13">
    <dxf>
      <font>
        <color rgb="FF006100"/>
      </font>
      <fill>
        <patternFill patternType="solid">
          <bgColor rgb="FFC6EF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NIS%20V10/PUNIS%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LISTA DE DIRECTORIOS"/>
      <sheetName val="2.MENU"/>
      <sheetName val="3.DATOS"/>
      <sheetName val="4.LISTA DE RUBROS"/>
      <sheetName val="5.ANALISIS DE PRECIOS"/>
      <sheetName val="6.COPIAR PRESUPUESTO"/>
      <sheetName val="7.COPIAR PRESUPUESTO 2"/>
      <sheetName val="8.COPIAR ANALISIS"/>
      <sheetName val="9.DESCRIPCION"/>
      <sheetName val="10.LISTA DE MAT.-EQUIPO-M.O"/>
      <sheetName val="11.SIMBOLOS"/>
      <sheetName val="12.FORMULA"/>
      <sheetName val="13.CUADRILLA"/>
      <sheetName val="14.PRESUPUESTO"/>
      <sheetName val="15.COPIAR PROYECTO DESDE APU"/>
      <sheetName val="16.IMP.ANALISIS"/>
      <sheetName val="17.CORREGIR"/>
      <sheetName val="18.CRONOGRAMA"/>
      <sheetName val="19.BUSCAR"/>
      <sheetName val="20.CI"/>
      <sheetName val="21.BUSQUEDA"/>
      <sheetName val="22.CRONO TOTAL"/>
      <sheetName val="ANALISIS DE PUNIS"/>
      <sheetName val="24.CANT. COSTO"/>
      <sheetName val="VER"/>
      <sheetName val="HOJA 1"/>
      <sheetName val="CRONO EQ-MO"/>
      <sheetName val="28. VAE"/>
      <sheetName val="29. CPC"/>
      <sheetName val="30. M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6"/>
  <sheetViews>
    <sheetView tabSelected="1" zoomScale="80" zoomScaleNormal="80" zoomScaleSheetLayoutView="50" workbookViewId="0">
      <pane ySplit="6" topLeftCell="A219" activePane="bottomLeft" state="frozen"/>
      <selection pane="bottomLeft" activeCell="A225" sqref="A225"/>
    </sheetView>
  </sheetViews>
  <sheetFormatPr baseColWidth="10" defaultColWidth="11" defaultRowHeight="14.5"/>
  <cols>
    <col min="1" max="1" width="47" style="28" customWidth="1"/>
    <col min="2" max="3" width="11" style="201"/>
    <col min="4" max="4" width="12.81640625" style="201" bestFit="1" customWidth="1"/>
    <col min="5" max="5" width="12.81640625" style="134" customWidth="1"/>
    <col min="6" max="6" width="12.81640625" style="28" customWidth="1"/>
    <col min="7" max="7" width="17" style="28" bestFit="1" customWidth="1"/>
    <col min="8" max="8" width="18" style="28" bestFit="1" customWidth="1"/>
    <col min="9" max="9" width="12.1796875" style="28" bestFit="1" customWidth="1"/>
    <col min="10" max="10" width="11.54296875" style="28" bestFit="1" customWidth="1"/>
    <col min="11" max="11" width="14.54296875" style="28" customWidth="1"/>
    <col min="12" max="12" width="19.54296875" style="28" customWidth="1"/>
    <col min="13" max="16384" width="11" style="28"/>
  </cols>
  <sheetData>
    <row r="1" spans="1:14" ht="18.5">
      <c r="A1" s="454"/>
      <c r="B1" s="454"/>
      <c r="C1" s="454"/>
      <c r="D1" s="454"/>
      <c r="E1" s="454"/>
      <c r="F1" s="454"/>
      <c r="G1" s="454"/>
      <c r="H1" s="454"/>
      <c r="I1" s="454"/>
      <c r="J1" s="454"/>
      <c r="K1" s="454"/>
      <c r="L1" s="454"/>
    </row>
    <row r="2" spans="1:14" ht="15.5">
      <c r="A2" s="455" t="s">
        <v>364</v>
      </c>
      <c r="B2" s="455"/>
      <c r="C2" s="455"/>
      <c r="D2" s="455"/>
      <c r="E2" s="455"/>
      <c r="F2" s="455"/>
      <c r="G2" s="455"/>
      <c r="H2" s="455"/>
      <c r="I2" s="455"/>
      <c r="J2" s="455"/>
      <c r="K2" s="455"/>
      <c r="L2" s="455"/>
    </row>
    <row r="3" spans="1:14" ht="63.75" customHeight="1">
      <c r="A3" s="456" t="s">
        <v>426</v>
      </c>
      <c r="B3" s="456"/>
      <c r="C3" s="456"/>
      <c r="D3" s="456"/>
      <c r="E3" s="456"/>
      <c r="F3" s="456"/>
      <c r="G3" s="456"/>
      <c r="H3" s="456"/>
      <c r="I3" s="456"/>
      <c r="J3" s="456"/>
      <c r="K3" s="456"/>
      <c r="L3" s="456"/>
    </row>
    <row r="4" spans="1:14" ht="15.75" customHeight="1">
      <c r="A4" s="459" t="s">
        <v>76</v>
      </c>
      <c r="B4" s="453" t="s">
        <v>86</v>
      </c>
      <c r="C4" s="453"/>
      <c r="D4" s="453"/>
      <c r="E4" s="453"/>
      <c r="F4" s="453"/>
      <c r="G4" s="453"/>
      <c r="H4" s="453"/>
      <c r="I4" s="453" t="s">
        <v>85</v>
      </c>
      <c r="J4" s="453"/>
      <c r="K4" s="453"/>
      <c r="L4" s="453"/>
    </row>
    <row r="5" spans="1:14" ht="15.75" customHeight="1">
      <c r="A5" s="459"/>
      <c r="B5" s="453"/>
      <c r="C5" s="453"/>
      <c r="D5" s="453"/>
      <c r="E5" s="453"/>
      <c r="F5" s="453"/>
      <c r="G5" s="453"/>
      <c r="H5" s="453"/>
      <c r="I5" s="457" t="s">
        <v>91</v>
      </c>
      <c r="J5" s="457" t="s">
        <v>92</v>
      </c>
      <c r="K5" s="458" t="s">
        <v>1</v>
      </c>
      <c r="L5" s="458" t="s">
        <v>2</v>
      </c>
    </row>
    <row r="6" spans="1:14" ht="26">
      <c r="A6" s="393" t="s">
        <v>87</v>
      </c>
      <c r="B6" s="394" t="s">
        <v>88</v>
      </c>
      <c r="C6" s="395" t="s">
        <v>89</v>
      </c>
      <c r="D6" s="394" t="s">
        <v>90</v>
      </c>
      <c r="E6" s="396" t="s">
        <v>83</v>
      </c>
      <c r="F6" s="397" t="s">
        <v>116</v>
      </c>
      <c r="G6" s="397" t="s">
        <v>115</v>
      </c>
      <c r="H6" s="398" t="s">
        <v>0</v>
      </c>
      <c r="I6" s="457"/>
      <c r="J6" s="457"/>
      <c r="K6" s="458"/>
      <c r="L6" s="458"/>
    </row>
    <row r="7" spans="1:14" ht="15" customHeight="1">
      <c r="A7" s="451" t="s">
        <v>79</v>
      </c>
      <c r="B7" s="451"/>
      <c r="C7" s="451"/>
      <c r="D7" s="451"/>
      <c r="E7" s="451"/>
      <c r="F7" s="451"/>
      <c r="G7" s="451"/>
      <c r="H7" s="451"/>
      <c r="I7" s="451"/>
      <c r="J7" s="451"/>
      <c r="K7" s="451"/>
      <c r="L7" s="451"/>
    </row>
    <row r="8" spans="1:14" ht="47.15" customHeight="1">
      <c r="A8" s="452" t="str">
        <f>+'2.- Resumen por Línea '!B5</f>
        <v xml:space="preserve">C2.A2.1. Fortalecimiento de la cadena de valor productiva de organizaciones de pueblos y nacionalidades, afroecuatorianos y montubios, mediante la obtención de patentes, registros sanitarios, certificaciones de buenas prácticas, propiedad intelectual, entre otros. </v>
      </c>
      <c r="B8" s="452"/>
      <c r="C8" s="452"/>
      <c r="D8" s="452"/>
      <c r="E8" s="452"/>
      <c r="F8" s="452"/>
      <c r="G8" s="452"/>
      <c r="H8" s="452"/>
      <c r="I8" s="452"/>
      <c r="J8" s="452"/>
      <c r="K8" s="452"/>
      <c r="L8" s="452"/>
    </row>
    <row r="9" spans="1:14" s="141" customFormat="1" ht="18.75" customHeight="1">
      <c r="A9" s="399" t="s">
        <v>291</v>
      </c>
      <c r="B9" s="268" t="s">
        <v>128</v>
      </c>
      <c r="C9" s="400">
        <v>3</v>
      </c>
      <c r="D9" s="401">
        <v>2520.25</v>
      </c>
      <c r="E9" s="402">
        <f>ROUND(C9*D9,2)</f>
        <v>7560.75</v>
      </c>
      <c r="F9" s="403">
        <v>0.15</v>
      </c>
      <c r="G9" s="402">
        <f>ROUND(+F9*E9,2)</f>
        <v>1134.1099999999999</v>
      </c>
      <c r="H9" s="402">
        <f>ROUND(+G9+E9,2)</f>
        <v>8694.86</v>
      </c>
      <c r="I9" s="143"/>
      <c r="J9" s="143"/>
      <c r="K9" s="143">
        <f>H9</f>
        <v>8694.86</v>
      </c>
      <c r="L9" s="143">
        <f t="shared" ref="L9:L23" si="0">+I9+J9+K9</f>
        <v>8694.86</v>
      </c>
      <c r="N9" s="142">
        <v>0.15</v>
      </c>
    </row>
    <row r="10" spans="1:14" s="141" customFormat="1" ht="18.75" customHeight="1">
      <c r="A10" s="399" t="s">
        <v>292</v>
      </c>
      <c r="B10" s="268" t="s">
        <v>128</v>
      </c>
      <c r="C10" s="400">
        <v>1</v>
      </c>
      <c r="D10" s="401">
        <v>2521.25</v>
      </c>
      <c r="E10" s="402">
        <f t="shared" ref="E10:E22" si="1">ROUND(C10*D10,2)</f>
        <v>2521.25</v>
      </c>
      <c r="F10" s="403">
        <v>0.05</v>
      </c>
      <c r="G10" s="402">
        <f t="shared" ref="G10:G22" si="2">ROUND(+F10*E10,2)</f>
        <v>126.06</v>
      </c>
      <c r="H10" s="402">
        <f t="shared" ref="H10:H22" si="3">ROUND(+G10+E10,2)</f>
        <v>2647.31</v>
      </c>
      <c r="I10" s="143"/>
      <c r="J10" s="143"/>
      <c r="K10" s="143">
        <f t="shared" ref="K10:K22" si="4">H10</f>
        <v>2647.31</v>
      </c>
      <c r="L10" s="143">
        <f t="shared" si="0"/>
        <v>2647.31</v>
      </c>
      <c r="N10" s="142">
        <v>0.05</v>
      </c>
    </row>
    <row r="11" spans="1:14" s="141" customFormat="1" ht="18.75" customHeight="1">
      <c r="A11" s="437" t="s">
        <v>434</v>
      </c>
      <c r="B11" s="438" t="s">
        <v>128</v>
      </c>
      <c r="C11" s="400">
        <v>23</v>
      </c>
      <c r="D11" s="401">
        <v>45</v>
      </c>
      <c r="E11" s="402">
        <f t="shared" si="1"/>
        <v>1035</v>
      </c>
      <c r="F11" s="403">
        <v>0.15</v>
      </c>
      <c r="G11" s="402">
        <f t="shared" si="2"/>
        <v>155.25</v>
      </c>
      <c r="H11" s="402">
        <f t="shared" si="3"/>
        <v>1190.25</v>
      </c>
      <c r="I11" s="143"/>
      <c r="J11" s="143"/>
      <c r="K11" s="143">
        <f t="shared" si="4"/>
        <v>1190.25</v>
      </c>
      <c r="L11" s="143">
        <f t="shared" si="0"/>
        <v>1190.25</v>
      </c>
      <c r="N11" s="142">
        <v>0</v>
      </c>
    </row>
    <row r="12" spans="1:14" s="141" customFormat="1" ht="18.75" customHeight="1">
      <c r="A12" s="405"/>
      <c r="B12" s="161"/>
      <c r="C12" s="400"/>
      <c r="D12" s="404"/>
      <c r="E12" s="402">
        <f t="shared" si="1"/>
        <v>0</v>
      </c>
      <c r="F12" s="403"/>
      <c r="G12" s="402">
        <f t="shared" si="2"/>
        <v>0</v>
      </c>
      <c r="H12" s="402">
        <f t="shared" si="3"/>
        <v>0</v>
      </c>
      <c r="I12" s="143"/>
      <c r="J12" s="143"/>
      <c r="K12" s="143">
        <f t="shared" si="4"/>
        <v>0</v>
      </c>
      <c r="L12" s="143">
        <f t="shared" si="0"/>
        <v>0</v>
      </c>
      <c r="N12" s="144"/>
    </row>
    <row r="13" spans="1:14" s="141" customFormat="1" ht="18.75" customHeight="1">
      <c r="A13" s="405"/>
      <c r="B13" s="161"/>
      <c r="C13" s="400"/>
      <c r="D13" s="404"/>
      <c r="E13" s="402">
        <f t="shared" si="1"/>
        <v>0</v>
      </c>
      <c r="F13" s="403"/>
      <c r="G13" s="402">
        <f t="shared" si="2"/>
        <v>0</v>
      </c>
      <c r="H13" s="402">
        <f t="shared" si="3"/>
        <v>0</v>
      </c>
      <c r="I13" s="143"/>
      <c r="J13" s="143"/>
      <c r="K13" s="143">
        <f t="shared" si="4"/>
        <v>0</v>
      </c>
      <c r="L13" s="143">
        <f t="shared" si="0"/>
        <v>0</v>
      </c>
      <c r="N13" s="144"/>
    </row>
    <row r="14" spans="1:14" s="141" customFormat="1" ht="18.75" customHeight="1">
      <c r="A14" s="405"/>
      <c r="B14" s="161"/>
      <c r="C14" s="400"/>
      <c r="D14" s="404"/>
      <c r="E14" s="402">
        <f t="shared" si="1"/>
        <v>0</v>
      </c>
      <c r="F14" s="403"/>
      <c r="G14" s="402">
        <f t="shared" si="2"/>
        <v>0</v>
      </c>
      <c r="H14" s="402">
        <f t="shared" si="3"/>
        <v>0</v>
      </c>
      <c r="I14" s="143"/>
      <c r="J14" s="143"/>
      <c r="K14" s="143">
        <f t="shared" si="4"/>
        <v>0</v>
      </c>
      <c r="L14" s="143">
        <f t="shared" si="0"/>
        <v>0</v>
      </c>
      <c r="N14" s="144"/>
    </row>
    <row r="15" spans="1:14" s="141" customFormat="1" ht="18.75" customHeight="1">
      <c r="A15" s="405"/>
      <c r="B15" s="161"/>
      <c r="C15" s="400"/>
      <c r="D15" s="404"/>
      <c r="E15" s="402">
        <f t="shared" si="1"/>
        <v>0</v>
      </c>
      <c r="F15" s="403"/>
      <c r="G15" s="402">
        <f t="shared" si="2"/>
        <v>0</v>
      </c>
      <c r="H15" s="402">
        <f t="shared" si="3"/>
        <v>0</v>
      </c>
      <c r="I15" s="143"/>
      <c r="J15" s="143"/>
      <c r="K15" s="143">
        <f t="shared" si="4"/>
        <v>0</v>
      </c>
      <c r="L15" s="143">
        <f t="shared" si="0"/>
        <v>0</v>
      </c>
      <c r="N15" s="144"/>
    </row>
    <row r="16" spans="1:14" s="141" customFormat="1" ht="18.75" customHeight="1">
      <c r="A16" s="405"/>
      <c r="B16" s="161"/>
      <c r="C16" s="400"/>
      <c r="D16" s="404"/>
      <c r="E16" s="402">
        <f t="shared" si="1"/>
        <v>0</v>
      </c>
      <c r="F16" s="403"/>
      <c r="G16" s="402">
        <f t="shared" si="2"/>
        <v>0</v>
      </c>
      <c r="H16" s="402">
        <f t="shared" si="3"/>
        <v>0</v>
      </c>
      <c r="I16" s="143"/>
      <c r="J16" s="143"/>
      <c r="K16" s="143">
        <f t="shared" si="4"/>
        <v>0</v>
      </c>
      <c r="L16" s="143">
        <f t="shared" si="0"/>
        <v>0</v>
      </c>
    </row>
    <row r="17" spans="1:12" s="141" customFormat="1" ht="18.75" customHeight="1">
      <c r="A17" s="405"/>
      <c r="B17" s="161"/>
      <c r="C17" s="400"/>
      <c r="D17" s="404"/>
      <c r="E17" s="402">
        <f t="shared" si="1"/>
        <v>0</v>
      </c>
      <c r="F17" s="403"/>
      <c r="G17" s="402">
        <f t="shared" si="2"/>
        <v>0</v>
      </c>
      <c r="H17" s="402">
        <f t="shared" si="3"/>
        <v>0</v>
      </c>
      <c r="I17" s="143"/>
      <c r="J17" s="143"/>
      <c r="K17" s="143">
        <f t="shared" si="4"/>
        <v>0</v>
      </c>
      <c r="L17" s="143">
        <f t="shared" si="0"/>
        <v>0</v>
      </c>
    </row>
    <row r="18" spans="1:12" s="141" customFormat="1" ht="18.75" customHeight="1">
      <c r="A18" s="405"/>
      <c r="B18" s="161"/>
      <c r="C18" s="400"/>
      <c r="D18" s="404"/>
      <c r="E18" s="402">
        <f t="shared" si="1"/>
        <v>0</v>
      </c>
      <c r="F18" s="403"/>
      <c r="G18" s="402">
        <f t="shared" si="2"/>
        <v>0</v>
      </c>
      <c r="H18" s="402">
        <f t="shared" si="3"/>
        <v>0</v>
      </c>
      <c r="I18" s="143"/>
      <c r="J18" s="143"/>
      <c r="K18" s="143">
        <f t="shared" si="4"/>
        <v>0</v>
      </c>
      <c r="L18" s="143">
        <f t="shared" si="0"/>
        <v>0</v>
      </c>
    </row>
    <row r="19" spans="1:12" s="141" customFormat="1" ht="18.75" customHeight="1">
      <c r="A19" s="405"/>
      <c r="B19" s="161"/>
      <c r="C19" s="400"/>
      <c r="D19" s="404"/>
      <c r="E19" s="402">
        <f t="shared" si="1"/>
        <v>0</v>
      </c>
      <c r="F19" s="403"/>
      <c r="G19" s="402">
        <f t="shared" si="2"/>
        <v>0</v>
      </c>
      <c r="H19" s="402">
        <f t="shared" si="3"/>
        <v>0</v>
      </c>
      <c r="I19" s="143"/>
      <c r="J19" s="143"/>
      <c r="K19" s="143">
        <f t="shared" si="4"/>
        <v>0</v>
      </c>
      <c r="L19" s="143">
        <f t="shared" si="0"/>
        <v>0</v>
      </c>
    </row>
    <row r="20" spans="1:12" s="141" customFormat="1" ht="18.75" customHeight="1">
      <c r="A20" s="405"/>
      <c r="B20" s="161"/>
      <c r="C20" s="400"/>
      <c r="D20" s="404"/>
      <c r="E20" s="402">
        <f t="shared" si="1"/>
        <v>0</v>
      </c>
      <c r="F20" s="403"/>
      <c r="G20" s="402">
        <f t="shared" si="2"/>
        <v>0</v>
      </c>
      <c r="H20" s="402">
        <f t="shared" si="3"/>
        <v>0</v>
      </c>
      <c r="I20" s="143"/>
      <c r="J20" s="143"/>
      <c r="K20" s="143">
        <f t="shared" si="4"/>
        <v>0</v>
      </c>
      <c r="L20" s="143">
        <f t="shared" si="0"/>
        <v>0</v>
      </c>
    </row>
    <row r="21" spans="1:12" s="141" customFormat="1" ht="18.75" customHeight="1">
      <c r="A21" s="405"/>
      <c r="B21" s="161"/>
      <c r="C21" s="400"/>
      <c r="D21" s="404"/>
      <c r="E21" s="402">
        <f t="shared" si="1"/>
        <v>0</v>
      </c>
      <c r="F21" s="403"/>
      <c r="G21" s="402">
        <f t="shared" si="2"/>
        <v>0</v>
      </c>
      <c r="H21" s="402">
        <f t="shared" si="3"/>
        <v>0</v>
      </c>
      <c r="I21" s="143"/>
      <c r="J21" s="143"/>
      <c r="K21" s="143">
        <f t="shared" si="4"/>
        <v>0</v>
      </c>
      <c r="L21" s="143">
        <f t="shared" si="0"/>
        <v>0</v>
      </c>
    </row>
    <row r="22" spans="1:12" s="141" customFormat="1" ht="18.75" customHeight="1">
      <c r="A22" s="405"/>
      <c r="B22" s="161"/>
      <c r="C22" s="400"/>
      <c r="D22" s="404"/>
      <c r="E22" s="402">
        <f t="shared" si="1"/>
        <v>0</v>
      </c>
      <c r="F22" s="403"/>
      <c r="G22" s="402">
        <f t="shared" si="2"/>
        <v>0</v>
      </c>
      <c r="H22" s="402">
        <f t="shared" si="3"/>
        <v>0</v>
      </c>
      <c r="I22" s="143"/>
      <c r="J22" s="143"/>
      <c r="K22" s="143">
        <f t="shared" si="4"/>
        <v>0</v>
      </c>
      <c r="L22" s="143">
        <f t="shared" si="0"/>
        <v>0</v>
      </c>
    </row>
    <row r="23" spans="1:12" s="141" customFormat="1" ht="27.75" customHeight="1">
      <c r="A23" s="442" t="s">
        <v>82</v>
      </c>
      <c r="B23" s="442"/>
      <c r="C23" s="442"/>
      <c r="D23" s="442"/>
      <c r="E23" s="406">
        <f>SUM(E9:E22)</f>
        <v>11117</v>
      </c>
      <c r="F23" s="407"/>
      <c r="G23" s="408">
        <f>SUM(G9:G22)</f>
        <v>1415.4199999999998</v>
      </c>
      <c r="H23" s="409">
        <f>SUM(H9:H22)</f>
        <v>12532.42</v>
      </c>
      <c r="I23" s="410">
        <f>SUM(I9:I22)</f>
        <v>0</v>
      </c>
      <c r="J23" s="410">
        <f>SUM(J9:J22)</f>
        <v>0</v>
      </c>
      <c r="K23" s="411">
        <f>+H23</f>
        <v>12532.42</v>
      </c>
      <c r="L23" s="410">
        <f t="shared" si="0"/>
        <v>12532.42</v>
      </c>
    </row>
    <row r="24" spans="1:12" ht="38.15" customHeight="1">
      <c r="A24" s="446" t="str">
        <f>+'2.- Resumen por Línea '!B6</f>
        <v>C2.A2.2. Fortalecimiento de la infraestructura productiva de organizaciones de pueblos y nacionalidades, afroecuatorianos y montubios</v>
      </c>
      <c r="B24" s="446"/>
      <c r="C24" s="446"/>
      <c r="D24" s="446"/>
      <c r="E24" s="446"/>
      <c r="F24" s="446"/>
      <c r="G24" s="446"/>
      <c r="H24" s="446"/>
      <c r="I24" s="446"/>
      <c r="J24" s="446"/>
      <c r="K24" s="446"/>
      <c r="L24" s="446"/>
    </row>
    <row r="25" spans="1:12" ht="27" customHeight="1">
      <c r="A25" s="447" t="str">
        <f>+'6.- Presupuesto Obra'!C12</f>
        <v xml:space="preserve">OBRAS PRELIMINARES </v>
      </c>
      <c r="B25" s="447"/>
      <c r="C25" s="447"/>
      <c r="D25" s="447"/>
      <c r="E25" s="447"/>
      <c r="F25" s="447"/>
      <c r="G25" s="447"/>
      <c r="H25" s="447"/>
      <c r="I25" s="412"/>
      <c r="J25" s="412"/>
      <c r="K25" s="413"/>
      <c r="L25" s="413"/>
    </row>
    <row r="26" spans="1:12" s="141" customFormat="1" ht="27" customHeight="1">
      <c r="A26" s="414" t="str">
        <f>+'6.- Presupuesto Obra'!C13</f>
        <v>CERRAMIENTO PROVISIONAL H=2.40 CON LONA VERDE Y PINGOS</v>
      </c>
      <c r="B26" s="414" t="str">
        <f>+'6.- Presupuesto Obra'!D13</f>
        <v>M</v>
      </c>
      <c r="C26" s="414">
        <f>+'6.- Presupuesto Obra'!E13</f>
        <v>12.46</v>
      </c>
      <c r="D26" s="414">
        <f>+'6.- Presupuesto Obra'!F13</f>
        <v>9.4600000000000009</v>
      </c>
      <c r="E26" s="415">
        <f t="shared" ref="E26:E89" si="5">ROUND(C26*D26,2)</f>
        <v>117.87</v>
      </c>
      <c r="F26" s="416">
        <v>0.05</v>
      </c>
      <c r="G26" s="417">
        <f>+F26*E26</f>
        <v>5.8935000000000004</v>
      </c>
      <c r="H26" s="418">
        <f t="shared" ref="H26:H89" si="6">ROUND(+E26+G26,2)</f>
        <v>123.76</v>
      </c>
      <c r="I26" s="205"/>
      <c r="J26" s="205"/>
      <c r="K26" s="205">
        <f t="shared" ref="K26:K88" si="7">H26</f>
        <v>123.76</v>
      </c>
      <c r="L26" s="205">
        <f t="shared" ref="L26:L89" si="8">+I26+J26+K26</f>
        <v>123.76</v>
      </c>
    </row>
    <row r="27" spans="1:12" s="141" customFormat="1" ht="27" customHeight="1">
      <c r="A27" s="414" t="str">
        <f>+'6.- Presupuesto Obra'!C14</f>
        <v>REPLANTEO Y NIVELACION CON EQUIPO TOPOGRAFICO</v>
      </c>
      <c r="B27" s="414" t="str">
        <f>+'6.- Presupuesto Obra'!D14</f>
        <v>M2</v>
      </c>
      <c r="C27" s="414">
        <f>+'6.- Presupuesto Obra'!E14</f>
        <v>88.12</v>
      </c>
      <c r="D27" s="414">
        <f>+'6.- Presupuesto Obra'!F14</f>
        <v>2.48</v>
      </c>
      <c r="E27" s="415">
        <f t="shared" si="5"/>
        <v>218.54</v>
      </c>
      <c r="F27" s="416">
        <v>0.15</v>
      </c>
      <c r="G27" s="417">
        <f t="shared" ref="G27:G29" si="9">+F27*E27</f>
        <v>32.780999999999999</v>
      </c>
      <c r="H27" s="418">
        <f t="shared" si="6"/>
        <v>251.32</v>
      </c>
      <c r="I27" s="205"/>
      <c r="J27" s="205"/>
      <c r="K27" s="205">
        <f t="shared" si="7"/>
        <v>251.32</v>
      </c>
      <c r="L27" s="205">
        <f t="shared" si="8"/>
        <v>251.32</v>
      </c>
    </row>
    <row r="28" spans="1:12" s="141" customFormat="1" ht="27" customHeight="1">
      <c r="A28" s="414" t="str">
        <f>+'6.- Presupuesto Obra'!C15</f>
        <v xml:space="preserve">DESARMADOS, DERROCAMIENTOS </v>
      </c>
      <c r="B28" s="414">
        <f>+'6.- Presupuesto Obra'!D15</f>
        <v>0</v>
      </c>
      <c r="C28" s="414">
        <f>+'6.- Presupuesto Obra'!E15</f>
        <v>0</v>
      </c>
      <c r="D28" s="414">
        <f>+'6.- Presupuesto Obra'!F15</f>
        <v>0</v>
      </c>
      <c r="E28" s="415">
        <f t="shared" si="5"/>
        <v>0</v>
      </c>
      <c r="F28" s="416">
        <v>0</v>
      </c>
      <c r="G28" s="417">
        <f t="shared" si="9"/>
        <v>0</v>
      </c>
      <c r="H28" s="418">
        <f t="shared" si="6"/>
        <v>0</v>
      </c>
      <c r="I28" s="205"/>
      <c r="J28" s="205"/>
      <c r="K28" s="205">
        <f t="shared" si="7"/>
        <v>0</v>
      </c>
      <c r="L28" s="205">
        <f t="shared" si="8"/>
        <v>0</v>
      </c>
    </row>
    <row r="29" spans="1:12" s="141" customFormat="1" ht="27" customHeight="1">
      <c r="A29" s="414" t="str">
        <f>+'6.- Presupuesto Obra'!C16</f>
        <v>DESARMADO DE PUERTAS</v>
      </c>
      <c r="B29" s="414" t="str">
        <f>+'6.- Presupuesto Obra'!D16</f>
        <v>U</v>
      </c>
      <c r="C29" s="414">
        <f>+'6.- Presupuesto Obra'!E16</f>
        <v>9</v>
      </c>
      <c r="D29" s="414">
        <f>+'6.- Presupuesto Obra'!F16</f>
        <v>11.33</v>
      </c>
      <c r="E29" s="415">
        <f t="shared" si="5"/>
        <v>101.97</v>
      </c>
      <c r="F29" s="416"/>
      <c r="G29" s="417">
        <f t="shared" si="9"/>
        <v>0</v>
      </c>
      <c r="H29" s="418">
        <f t="shared" si="6"/>
        <v>101.97</v>
      </c>
      <c r="I29" s="205"/>
      <c r="J29" s="205"/>
      <c r="K29" s="205">
        <f t="shared" si="7"/>
        <v>101.97</v>
      </c>
      <c r="L29" s="205">
        <f t="shared" si="8"/>
        <v>101.97</v>
      </c>
    </row>
    <row r="30" spans="1:12" s="141" customFormat="1" ht="27" customHeight="1">
      <c r="A30" s="414" t="s">
        <v>431</v>
      </c>
      <c r="B30" s="414" t="str">
        <f>+'6.- Presupuesto Obra'!D17</f>
        <v>m2</v>
      </c>
      <c r="C30" s="414">
        <f>+'6.- Presupuesto Obra'!E17</f>
        <v>120</v>
      </c>
      <c r="D30" s="414">
        <f>+'6.- Presupuesto Obra'!F17</f>
        <v>12.35</v>
      </c>
      <c r="E30" s="415">
        <f t="shared" si="5"/>
        <v>1482</v>
      </c>
      <c r="F30" s="416">
        <v>0.15</v>
      </c>
      <c r="G30" s="417">
        <f t="shared" ref="G30:G93" si="10">+F30*E30</f>
        <v>222.29999999999998</v>
      </c>
      <c r="H30" s="418">
        <f t="shared" si="6"/>
        <v>1704.3</v>
      </c>
      <c r="I30" s="205"/>
      <c r="J30" s="205"/>
      <c r="K30" s="205">
        <f t="shared" si="7"/>
        <v>1704.3</v>
      </c>
      <c r="L30" s="205">
        <f t="shared" si="8"/>
        <v>1704.3</v>
      </c>
    </row>
    <row r="31" spans="1:12" s="141" customFormat="1" ht="27" customHeight="1">
      <c r="A31" s="414" t="str">
        <f>+'6.- Presupuesto Obra'!C18</f>
        <v>DESARMADOS DE VENTANAS</v>
      </c>
      <c r="B31" s="414" t="str">
        <f>+'6.- Presupuesto Obra'!D18</f>
        <v>U</v>
      </c>
      <c r="C31" s="414">
        <f>+'6.- Presupuesto Obra'!E18</f>
        <v>4</v>
      </c>
      <c r="D31" s="414">
        <f>+'6.- Presupuesto Obra'!F18</f>
        <v>9.0500000000000007</v>
      </c>
      <c r="E31" s="415">
        <f t="shared" si="5"/>
        <v>36.200000000000003</v>
      </c>
      <c r="F31" s="416"/>
      <c r="G31" s="417">
        <f t="shared" si="10"/>
        <v>0</v>
      </c>
      <c r="H31" s="418">
        <f t="shared" si="6"/>
        <v>36.200000000000003</v>
      </c>
      <c r="I31" s="205"/>
      <c r="J31" s="205"/>
      <c r="K31" s="205">
        <f t="shared" si="7"/>
        <v>36.200000000000003</v>
      </c>
      <c r="L31" s="205">
        <f t="shared" si="8"/>
        <v>36.200000000000003</v>
      </c>
    </row>
    <row r="32" spans="1:12" s="141" customFormat="1" ht="27" customHeight="1">
      <c r="A32" s="414" t="str">
        <f>+'6.- Presupuesto Obra'!C19</f>
        <v>RETIRO DE PIEZAS SANITARIAS</v>
      </c>
      <c r="B32" s="414" t="str">
        <f>+'6.- Presupuesto Obra'!D19</f>
        <v>U</v>
      </c>
      <c r="C32" s="414">
        <f>+'6.- Presupuesto Obra'!E19</f>
        <v>9</v>
      </c>
      <c r="D32" s="414">
        <f>+'6.- Presupuesto Obra'!F19</f>
        <v>13.66</v>
      </c>
      <c r="E32" s="415">
        <f t="shared" si="5"/>
        <v>122.94</v>
      </c>
      <c r="F32" s="416"/>
      <c r="G32" s="417">
        <f t="shared" si="10"/>
        <v>0</v>
      </c>
      <c r="H32" s="418">
        <f t="shared" si="6"/>
        <v>122.94</v>
      </c>
      <c r="I32" s="205"/>
      <c r="J32" s="205"/>
      <c r="K32" s="205">
        <f t="shared" si="7"/>
        <v>122.94</v>
      </c>
      <c r="L32" s="205">
        <f t="shared" si="8"/>
        <v>122.94</v>
      </c>
    </row>
    <row r="33" spans="1:12" s="141" customFormat="1" ht="27" customHeight="1">
      <c r="A33" s="414" t="str">
        <f>+'6.- Presupuesto Obra'!C20</f>
        <v>ROTURA DE PISOS DE HORMIGON PARA INSTALACIONES H=10 CM</v>
      </c>
      <c r="B33" s="414" t="str">
        <f>+'6.- Presupuesto Obra'!D20</f>
        <v>M2</v>
      </c>
      <c r="C33" s="414">
        <f>+'6.- Presupuesto Obra'!E20</f>
        <v>1.1299999999999999</v>
      </c>
      <c r="D33" s="414">
        <f>+'6.- Presupuesto Obra'!F20</f>
        <v>9.43</v>
      </c>
      <c r="E33" s="415">
        <f t="shared" si="5"/>
        <v>10.66</v>
      </c>
      <c r="F33" s="416"/>
      <c r="G33" s="417">
        <f t="shared" si="10"/>
        <v>0</v>
      </c>
      <c r="H33" s="418">
        <f t="shared" si="6"/>
        <v>10.66</v>
      </c>
      <c r="I33" s="205"/>
      <c r="J33" s="205"/>
      <c r="K33" s="205">
        <f t="shared" si="7"/>
        <v>10.66</v>
      </c>
      <c r="L33" s="205">
        <f t="shared" si="8"/>
        <v>10.66</v>
      </c>
    </row>
    <row r="34" spans="1:12" s="141" customFormat="1" ht="27" customHeight="1">
      <c r="A34" s="414" t="str">
        <f>+'6.- Presupuesto Obra'!C21</f>
        <v>RETIRO DE PISOS DE CERAMICA</v>
      </c>
      <c r="B34" s="414" t="str">
        <f>+'6.- Presupuesto Obra'!D21</f>
        <v>M2</v>
      </c>
      <c r="C34" s="414">
        <f>+'6.- Presupuesto Obra'!E21</f>
        <v>144.26</v>
      </c>
      <c r="D34" s="414">
        <f>+'6.- Presupuesto Obra'!F21</f>
        <v>8.33</v>
      </c>
      <c r="E34" s="415">
        <f t="shared" si="5"/>
        <v>1201.69</v>
      </c>
      <c r="F34" s="416"/>
      <c r="G34" s="417">
        <f t="shared" si="10"/>
        <v>0</v>
      </c>
      <c r="H34" s="418">
        <f t="shared" si="6"/>
        <v>1201.69</v>
      </c>
      <c r="I34" s="205"/>
      <c r="J34" s="205"/>
      <c r="K34" s="205">
        <f t="shared" si="7"/>
        <v>1201.69</v>
      </c>
      <c r="L34" s="205">
        <f t="shared" si="8"/>
        <v>1201.69</v>
      </c>
    </row>
    <row r="35" spans="1:12" s="141" customFormat="1" ht="27" customHeight="1">
      <c r="A35" s="414" t="str">
        <f>+'6.- Presupuesto Obra'!C22</f>
        <v>DERROCAMIENTO DE ESTRUCTURA EXISTENTE HORMIGON ARMADO</v>
      </c>
      <c r="B35" s="414" t="str">
        <f>+'6.- Presupuesto Obra'!D22</f>
        <v>M3</v>
      </c>
      <c r="C35" s="414">
        <f>+'6.- Presupuesto Obra'!E22</f>
        <v>0.89</v>
      </c>
      <c r="D35" s="414">
        <f>+'6.- Presupuesto Obra'!F22</f>
        <v>105.25</v>
      </c>
      <c r="E35" s="415">
        <f t="shared" si="5"/>
        <v>93.67</v>
      </c>
      <c r="F35" s="416"/>
      <c r="G35" s="417">
        <f t="shared" si="10"/>
        <v>0</v>
      </c>
      <c r="H35" s="418">
        <f t="shared" si="6"/>
        <v>93.67</v>
      </c>
      <c r="I35" s="205"/>
      <c r="J35" s="205"/>
      <c r="K35" s="205">
        <f t="shared" si="7"/>
        <v>93.67</v>
      </c>
      <c r="L35" s="205">
        <f t="shared" si="8"/>
        <v>93.67</v>
      </c>
    </row>
    <row r="36" spans="1:12" s="141" customFormat="1" ht="27" customHeight="1">
      <c r="A36" s="414" t="str">
        <f>+'6.- Presupuesto Obra'!C23</f>
        <v>DERROCAMIENTO DE MAMPOSTERIA DE  LADRILLO</v>
      </c>
      <c r="B36" s="414" t="str">
        <f>+'6.- Presupuesto Obra'!D23</f>
        <v>M2</v>
      </c>
      <c r="C36" s="414">
        <f>+'6.- Presupuesto Obra'!E23</f>
        <v>85.54</v>
      </c>
      <c r="D36" s="414">
        <f>+'6.- Presupuesto Obra'!F23</f>
        <v>5.0999999999999996</v>
      </c>
      <c r="E36" s="415">
        <f t="shared" si="5"/>
        <v>436.25</v>
      </c>
      <c r="F36" s="416"/>
      <c r="G36" s="417">
        <f t="shared" si="10"/>
        <v>0</v>
      </c>
      <c r="H36" s="418">
        <f t="shared" si="6"/>
        <v>436.25</v>
      </c>
      <c r="I36" s="205"/>
      <c r="J36" s="205"/>
      <c r="K36" s="205">
        <f t="shared" si="7"/>
        <v>436.25</v>
      </c>
      <c r="L36" s="205">
        <f t="shared" si="8"/>
        <v>436.25</v>
      </c>
    </row>
    <row r="37" spans="1:12" s="141" customFormat="1" ht="27" customHeight="1">
      <c r="A37" s="414" t="str">
        <f>+'6.- Presupuesto Obra'!C24</f>
        <v>DESALOJO DE MATERIAL CON VOLQUETA CARGADA MANUAL</v>
      </c>
      <c r="B37" s="414" t="str">
        <f>+'6.- Presupuesto Obra'!D24</f>
        <v>M3</v>
      </c>
      <c r="C37" s="414">
        <f>+'6.- Presupuesto Obra'!E24</f>
        <v>14.14</v>
      </c>
      <c r="D37" s="414">
        <f>+'6.- Presupuesto Obra'!F24</f>
        <v>15.94</v>
      </c>
      <c r="E37" s="415">
        <f t="shared" si="5"/>
        <v>225.39</v>
      </c>
      <c r="F37" s="416"/>
      <c r="G37" s="417">
        <f t="shared" si="10"/>
        <v>0</v>
      </c>
      <c r="H37" s="418">
        <f t="shared" si="6"/>
        <v>225.39</v>
      </c>
      <c r="I37" s="205"/>
      <c r="J37" s="205"/>
      <c r="K37" s="205">
        <f t="shared" si="7"/>
        <v>225.39</v>
      </c>
      <c r="L37" s="205">
        <f t="shared" si="8"/>
        <v>225.39</v>
      </c>
    </row>
    <row r="38" spans="1:12" s="141" customFormat="1" ht="27" customHeight="1">
      <c r="A38" s="414" t="str">
        <f>+'6.- Presupuesto Obra'!C25</f>
        <v xml:space="preserve">ESTRUCTURA Y HORMIGONES </v>
      </c>
      <c r="B38" s="414">
        <f>+'6.- Presupuesto Obra'!D25</f>
        <v>0</v>
      </c>
      <c r="C38" s="414">
        <f>+'6.- Presupuesto Obra'!E25</f>
        <v>0</v>
      </c>
      <c r="D38" s="414">
        <f>+'6.- Presupuesto Obra'!F25</f>
        <v>0</v>
      </c>
      <c r="E38" s="415">
        <f t="shared" si="5"/>
        <v>0</v>
      </c>
      <c r="F38" s="416"/>
      <c r="G38" s="417">
        <f t="shared" si="10"/>
        <v>0</v>
      </c>
      <c r="H38" s="418">
        <f t="shared" si="6"/>
        <v>0</v>
      </c>
      <c r="I38" s="205"/>
      <c r="J38" s="205"/>
      <c r="K38" s="205">
        <f t="shared" si="7"/>
        <v>0</v>
      </c>
      <c r="L38" s="205">
        <f t="shared" si="8"/>
        <v>0</v>
      </c>
    </row>
    <row r="39" spans="1:12" s="141" customFormat="1" ht="27" customHeight="1">
      <c r="A39" s="414" t="str">
        <f>+'6.- Presupuesto Obra'!C26</f>
        <v>CONTRAPISO H.S. F'C=180 KG/CM2 E=8CM (INC. CASCAJO E=10CM Y MALLA ELECTROSOLDADA)</v>
      </c>
      <c r="B39" s="414" t="str">
        <f>+'6.- Presupuesto Obra'!D26</f>
        <v>M2</v>
      </c>
      <c r="C39" s="414">
        <f>+'6.- Presupuesto Obra'!E26</f>
        <v>25.91</v>
      </c>
      <c r="D39" s="414">
        <f>+'6.- Presupuesto Obra'!F26</f>
        <v>22.62</v>
      </c>
      <c r="E39" s="415">
        <f t="shared" si="5"/>
        <v>586.08000000000004</v>
      </c>
      <c r="F39" s="416"/>
      <c r="G39" s="417">
        <f t="shared" si="10"/>
        <v>0</v>
      </c>
      <c r="H39" s="418">
        <f t="shared" si="6"/>
        <v>586.08000000000004</v>
      </c>
      <c r="I39" s="205"/>
      <c r="J39" s="205"/>
      <c r="K39" s="205">
        <f t="shared" si="7"/>
        <v>586.08000000000004</v>
      </c>
      <c r="L39" s="205">
        <f t="shared" si="8"/>
        <v>586.08000000000004</v>
      </c>
    </row>
    <row r="40" spans="1:12" s="141" customFormat="1" ht="27" customHeight="1">
      <c r="A40" s="414" t="str">
        <f>+'6.- Presupuesto Obra'!C27</f>
        <v>DINTEL 0.10X0.20X110M, FC=180KG/CM2</v>
      </c>
      <c r="B40" s="414" t="str">
        <f>+'6.- Presupuesto Obra'!D27</f>
        <v>U</v>
      </c>
      <c r="C40" s="414">
        <f>+'6.- Presupuesto Obra'!E27</f>
        <v>14</v>
      </c>
      <c r="D40" s="414">
        <f>+'6.- Presupuesto Obra'!F27</f>
        <v>16.97</v>
      </c>
      <c r="E40" s="415">
        <f t="shared" si="5"/>
        <v>237.58</v>
      </c>
      <c r="F40" s="416"/>
      <c r="G40" s="417">
        <f t="shared" si="10"/>
        <v>0</v>
      </c>
      <c r="H40" s="418">
        <f t="shared" si="6"/>
        <v>237.58</v>
      </c>
      <c r="I40" s="205"/>
      <c r="J40" s="205"/>
      <c r="K40" s="205">
        <f t="shared" si="7"/>
        <v>237.58</v>
      </c>
      <c r="L40" s="205">
        <f t="shared" si="8"/>
        <v>237.58</v>
      </c>
    </row>
    <row r="41" spans="1:12" s="141" customFormat="1" ht="27" customHeight="1">
      <c r="A41" s="414" t="str">
        <f>+'6.- Presupuesto Obra'!C28</f>
        <v>ACERO ESTRUCTURAL A-36, MONTAJE MANUAL</v>
      </c>
      <c r="B41" s="414" t="str">
        <f>+'6.- Presupuesto Obra'!D28</f>
        <v>KG</v>
      </c>
      <c r="C41" s="414">
        <f>+'6.- Presupuesto Obra'!E28</f>
        <v>3463.64</v>
      </c>
      <c r="D41" s="414">
        <f>+'6.- Presupuesto Obra'!F28</f>
        <v>3.78</v>
      </c>
      <c r="E41" s="415">
        <f t="shared" si="5"/>
        <v>13092.56</v>
      </c>
      <c r="F41" s="416"/>
      <c r="G41" s="417">
        <f t="shared" si="10"/>
        <v>0</v>
      </c>
      <c r="H41" s="418">
        <f t="shared" si="6"/>
        <v>13092.56</v>
      </c>
      <c r="I41" s="205"/>
      <c r="J41" s="205"/>
      <c r="K41" s="205">
        <f t="shared" si="7"/>
        <v>13092.56</v>
      </c>
      <c r="L41" s="205">
        <f t="shared" si="8"/>
        <v>13092.56</v>
      </c>
    </row>
    <row r="42" spans="1:12" s="141" customFormat="1" ht="27" customHeight="1">
      <c r="A42" s="414" t="str">
        <f>+'6.- Presupuesto Obra'!C29</f>
        <v>PLACAS METALICAS A-36 (35X35) CM E=8 CM</v>
      </c>
      <c r="B42" s="414" t="str">
        <f>+'6.- Presupuesto Obra'!D29</f>
        <v>U</v>
      </c>
      <c r="C42" s="414">
        <f>+'6.- Presupuesto Obra'!E29</f>
        <v>11</v>
      </c>
      <c r="D42" s="414">
        <f>+'6.- Presupuesto Obra'!F29</f>
        <v>49.14</v>
      </c>
      <c r="E42" s="415">
        <f t="shared" si="5"/>
        <v>540.54</v>
      </c>
      <c r="F42" s="416"/>
      <c r="G42" s="417">
        <f t="shared" si="10"/>
        <v>0</v>
      </c>
      <c r="H42" s="418">
        <f t="shared" si="6"/>
        <v>540.54</v>
      </c>
      <c r="I42" s="205"/>
      <c r="J42" s="205"/>
      <c r="K42" s="205">
        <f t="shared" si="7"/>
        <v>540.54</v>
      </c>
      <c r="L42" s="205">
        <f t="shared" si="8"/>
        <v>540.54</v>
      </c>
    </row>
    <row r="43" spans="1:12" s="141" customFormat="1" ht="27" customHeight="1">
      <c r="A43" s="414" t="str">
        <f>+'6.- Presupuesto Obra'!C30</f>
        <v>CUBIERTA DE PVC TIPO TEJA  E=40MM</v>
      </c>
      <c r="B43" s="414" t="str">
        <f>+'6.- Presupuesto Obra'!D30</f>
        <v>M2</v>
      </c>
      <c r="C43" s="414">
        <f>+'6.- Presupuesto Obra'!E30</f>
        <v>74.680000000000007</v>
      </c>
      <c r="D43" s="414">
        <f>+'6.- Presupuesto Obra'!F30</f>
        <v>22.72</v>
      </c>
      <c r="E43" s="415">
        <f t="shared" si="5"/>
        <v>1696.73</v>
      </c>
      <c r="F43" s="416"/>
      <c r="G43" s="417">
        <f t="shared" si="10"/>
        <v>0</v>
      </c>
      <c r="H43" s="418">
        <f t="shared" si="6"/>
        <v>1696.73</v>
      </c>
      <c r="I43" s="205"/>
      <c r="J43" s="205"/>
      <c r="K43" s="205">
        <f t="shared" si="7"/>
        <v>1696.73</v>
      </c>
      <c r="L43" s="205">
        <f t="shared" si="8"/>
        <v>1696.73</v>
      </c>
    </row>
    <row r="44" spans="1:12" s="141" customFormat="1" ht="27" customHeight="1">
      <c r="A44" s="414" t="str">
        <f>+'6.- Presupuesto Obra'!C31</f>
        <v>CUMBRERO DE PVC TIPO TEJA</v>
      </c>
      <c r="B44" s="414" t="str">
        <f>+'6.- Presupuesto Obra'!D31</f>
        <v>M</v>
      </c>
      <c r="C44" s="414">
        <f>+'6.- Presupuesto Obra'!E31</f>
        <v>7.31</v>
      </c>
      <c r="D44" s="414">
        <f>+'6.- Presupuesto Obra'!F31</f>
        <v>11.28</v>
      </c>
      <c r="E44" s="415">
        <f t="shared" si="5"/>
        <v>82.46</v>
      </c>
      <c r="F44" s="416"/>
      <c r="G44" s="417">
        <f t="shared" si="10"/>
        <v>0</v>
      </c>
      <c r="H44" s="418">
        <f t="shared" si="6"/>
        <v>82.46</v>
      </c>
      <c r="I44" s="205"/>
      <c r="J44" s="205"/>
      <c r="K44" s="205">
        <f t="shared" si="7"/>
        <v>82.46</v>
      </c>
      <c r="L44" s="205">
        <f t="shared" si="8"/>
        <v>82.46</v>
      </c>
    </row>
    <row r="45" spans="1:12" s="141" customFormat="1" ht="27" customHeight="1">
      <c r="A45" s="414" t="str">
        <f>+'6.- Presupuesto Obra'!C32</f>
        <v xml:space="preserve">ALBAÑILERIA </v>
      </c>
      <c r="B45" s="414">
        <f>+'6.- Presupuesto Obra'!D32</f>
        <v>0</v>
      </c>
      <c r="C45" s="414">
        <f>+'6.- Presupuesto Obra'!E32</f>
        <v>0</v>
      </c>
      <c r="D45" s="414">
        <f>+'6.- Presupuesto Obra'!F32</f>
        <v>0</v>
      </c>
      <c r="E45" s="415">
        <f t="shared" si="5"/>
        <v>0</v>
      </c>
      <c r="F45" s="416"/>
      <c r="G45" s="417">
        <f t="shared" si="10"/>
        <v>0</v>
      </c>
      <c r="H45" s="418">
        <f t="shared" si="6"/>
        <v>0</v>
      </c>
      <c r="I45" s="205"/>
      <c r="J45" s="205"/>
      <c r="K45" s="205">
        <f t="shared" si="7"/>
        <v>0</v>
      </c>
      <c r="L45" s="205">
        <f t="shared" si="8"/>
        <v>0</v>
      </c>
    </row>
    <row r="46" spans="1:12" s="141" customFormat="1" ht="27" customHeight="1">
      <c r="A46" s="414" t="str">
        <f>+'6.- Presupuesto Obra'!C33</f>
        <v>MAMPOSTERIA DE LADRILLO MAMBROM 17X09X37CM</v>
      </c>
      <c r="B46" s="414" t="str">
        <f>+'6.- Presupuesto Obra'!D33</f>
        <v>M2</v>
      </c>
      <c r="C46" s="414">
        <f>+'6.- Presupuesto Obra'!E33</f>
        <v>193.14</v>
      </c>
      <c r="D46" s="414">
        <f>+'6.- Presupuesto Obra'!F33</f>
        <v>28.74</v>
      </c>
      <c r="E46" s="415">
        <f t="shared" si="5"/>
        <v>5550.84</v>
      </c>
      <c r="F46" s="416"/>
      <c r="G46" s="417">
        <f t="shared" si="10"/>
        <v>0</v>
      </c>
      <c r="H46" s="418">
        <f t="shared" si="6"/>
        <v>5550.84</v>
      </c>
      <c r="I46" s="205"/>
      <c r="J46" s="205"/>
      <c r="K46" s="205">
        <f t="shared" si="7"/>
        <v>5550.84</v>
      </c>
      <c r="L46" s="205">
        <f t="shared" si="8"/>
        <v>5550.84</v>
      </c>
    </row>
    <row r="47" spans="1:12" s="141" customFormat="1" ht="27" customHeight="1">
      <c r="A47" s="414" t="str">
        <f>+'6.- Presupuesto Obra'!C34</f>
        <v>MESA COCINA HORMIGON ARMADO ENCOFRADO A=0.50M</v>
      </c>
      <c r="B47" s="414" t="str">
        <f>+'6.- Presupuesto Obra'!D34</f>
        <v>M</v>
      </c>
      <c r="C47" s="414">
        <f>+'6.- Presupuesto Obra'!E34</f>
        <v>12.26</v>
      </c>
      <c r="D47" s="414">
        <f>+'6.- Presupuesto Obra'!F34</f>
        <v>54.66</v>
      </c>
      <c r="E47" s="415">
        <f t="shared" si="5"/>
        <v>670.13</v>
      </c>
      <c r="F47" s="416"/>
      <c r="G47" s="417">
        <f t="shared" si="10"/>
        <v>0</v>
      </c>
      <c r="H47" s="418">
        <f t="shared" si="6"/>
        <v>670.13</v>
      </c>
      <c r="I47" s="205"/>
      <c r="J47" s="205"/>
      <c r="K47" s="205">
        <f t="shared" si="7"/>
        <v>670.13</v>
      </c>
      <c r="L47" s="205">
        <f t="shared" si="8"/>
        <v>670.13</v>
      </c>
    </row>
    <row r="48" spans="1:12" s="141" customFormat="1" ht="27" customHeight="1">
      <c r="A48" s="414" t="str">
        <f>+'6.- Presupuesto Obra'!C35</f>
        <v>PICADO Y RESANE EN PARED (SIN ENLUCIR) PARA INSTALACIONES</v>
      </c>
      <c r="B48" s="414" t="str">
        <f>+'6.- Presupuesto Obra'!D35</f>
        <v>M</v>
      </c>
      <c r="C48" s="414">
        <f>+'6.- Presupuesto Obra'!E35</f>
        <v>211.47</v>
      </c>
      <c r="D48" s="414">
        <f>+'6.- Presupuesto Obra'!F35</f>
        <v>5.12</v>
      </c>
      <c r="E48" s="415">
        <f t="shared" si="5"/>
        <v>1082.73</v>
      </c>
      <c r="F48" s="416"/>
      <c r="G48" s="417">
        <f t="shared" si="10"/>
        <v>0</v>
      </c>
      <c r="H48" s="418">
        <f t="shared" si="6"/>
        <v>1082.73</v>
      </c>
      <c r="I48" s="205"/>
      <c r="J48" s="205"/>
      <c r="K48" s="205">
        <f t="shared" si="7"/>
        <v>1082.73</v>
      </c>
      <c r="L48" s="205">
        <f t="shared" si="8"/>
        <v>1082.73</v>
      </c>
    </row>
    <row r="49" spans="1:12" s="141" customFormat="1" ht="27" customHeight="1">
      <c r="A49" s="414" t="str">
        <f>+'6.- Presupuesto Obra'!C36</f>
        <v>ENLUCIDO VERTICAL INTERIOR, PALETEADO FINO</v>
      </c>
      <c r="B49" s="414" t="str">
        <f>+'6.- Presupuesto Obra'!D36</f>
        <v>M2</v>
      </c>
      <c r="C49" s="414">
        <f>+'6.- Presupuesto Obra'!E36</f>
        <v>194.42</v>
      </c>
      <c r="D49" s="414">
        <f>+'6.- Presupuesto Obra'!F36</f>
        <v>8.59</v>
      </c>
      <c r="E49" s="415">
        <f t="shared" si="5"/>
        <v>1670.07</v>
      </c>
      <c r="F49" s="416"/>
      <c r="G49" s="417">
        <f t="shared" si="10"/>
        <v>0</v>
      </c>
      <c r="H49" s="418">
        <f t="shared" si="6"/>
        <v>1670.07</v>
      </c>
      <c r="I49" s="205"/>
      <c r="J49" s="205"/>
      <c r="K49" s="205">
        <f t="shared" si="7"/>
        <v>1670.07</v>
      </c>
      <c r="L49" s="205">
        <f t="shared" si="8"/>
        <v>1670.07</v>
      </c>
    </row>
    <row r="50" spans="1:12" s="141" customFormat="1" ht="27" customHeight="1">
      <c r="A50" s="414" t="str">
        <f>+'6.- Presupuesto Obra'!C37</f>
        <v>ENLUCIDO VERTICAL LISO EXTERIOR CON IMPERMEABILIZANTE</v>
      </c>
      <c r="B50" s="414" t="str">
        <f>+'6.- Presupuesto Obra'!D37</f>
        <v>M2</v>
      </c>
      <c r="C50" s="414">
        <f>+'6.- Presupuesto Obra'!E37</f>
        <v>73.52</v>
      </c>
      <c r="D50" s="414">
        <f>+'6.- Presupuesto Obra'!F37</f>
        <v>11.51</v>
      </c>
      <c r="E50" s="415">
        <f t="shared" si="5"/>
        <v>846.22</v>
      </c>
      <c r="F50" s="416"/>
      <c r="G50" s="417">
        <f t="shared" si="10"/>
        <v>0</v>
      </c>
      <c r="H50" s="418">
        <f t="shared" si="6"/>
        <v>846.22</v>
      </c>
      <c r="I50" s="205"/>
      <c r="J50" s="205"/>
      <c r="K50" s="205">
        <f t="shared" si="7"/>
        <v>846.22</v>
      </c>
      <c r="L50" s="205">
        <f t="shared" si="8"/>
        <v>846.22</v>
      </c>
    </row>
    <row r="51" spans="1:12" s="141" customFormat="1" ht="27" customHeight="1">
      <c r="A51" s="414" t="str">
        <f>+'6.- Presupuesto Obra'!C38</f>
        <v>MASILLADO ALISADO DE PISO, MORTERO 1:3, E=1CM</v>
      </c>
      <c r="B51" s="414" t="str">
        <f>+'6.- Presupuesto Obra'!D38</f>
        <v>M2</v>
      </c>
      <c r="C51" s="414">
        <f>+'6.- Presupuesto Obra'!E38</f>
        <v>213.93</v>
      </c>
      <c r="D51" s="414">
        <f>+'6.- Presupuesto Obra'!F38</f>
        <v>7.71</v>
      </c>
      <c r="E51" s="415">
        <f t="shared" si="5"/>
        <v>1649.4</v>
      </c>
      <c r="F51" s="416"/>
      <c r="G51" s="417">
        <f t="shared" si="10"/>
        <v>0</v>
      </c>
      <c r="H51" s="418">
        <f t="shared" si="6"/>
        <v>1649.4</v>
      </c>
      <c r="I51" s="205"/>
      <c r="J51" s="205"/>
      <c r="K51" s="205">
        <f t="shared" si="7"/>
        <v>1649.4</v>
      </c>
      <c r="L51" s="205">
        <f t="shared" si="8"/>
        <v>1649.4</v>
      </c>
    </row>
    <row r="52" spans="1:12" s="141" customFormat="1" ht="27" customHeight="1">
      <c r="A52" s="414" t="str">
        <f>+'6.- Presupuesto Obra'!C39</f>
        <v>REPISA DE HORMIGON ARMADO ENCOFRADO A=0.50M</v>
      </c>
      <c r="B52" s="414" t="str">
        <f>+'6.- Presupuesto Obra'!D39</f>
        <v>M</v>
      </c>
      <c r="C52" s="414">
        <f>+'6.- Presupuesto Obra'!E39</f>
        <v>3.76</v>
      </c>
      <c r="D52" s="414">
        <f>+'6.- Presupuesto Obra'!F39</f>
        <v>54.66</v>
      </c>
      <c r="E52" s="415">
        <f t="shared" si="5"/>
        <v>205.52</v>
      </c>
      <c r="F52" s="416"/>
      <c r="G52" s="417">
        <f t="shared" si="10"/>
        <v>0</v>
      </c>
      <c r="H52" s="418">
        <f t="shared" si="6"/>
        <v>205.52</v>
      </c>
      <c r="I52" s="205"/>
      <c r="J52" s="205"/>
      <c r="K52" s="205">
        <f t="shared" si="7"/>
        <v>205.52</v>
      </c>
      <c r="L52" s="205">
        <f t="shared" si="8"/>
        <v>205.52</v>
      </c>
    </row>
    <row r="53" spans="1:12" s="141" customFormat="1" ht="27" customHeight="1">
      <c r="A53" s="414" t="str">
        <f>+'6.- Presupuesto Obra'!C40</f>
        <v>BANCA DE HORMIGON ARMADO ENCOFRADO A=0.55M</v>
      </c>
      <c r="B53" s="414" t="str">
        <f>+'6.- Presupuesto Obra'!D40</f>
        <v>M</v>
      </c>
      <c r="C53" s="414">
        <f>+'6.- Presupuesto Obra'!E40</f>
        <v>6.61</v>
      </c>
      <c r="D53" s="414">
        <f>+'6.- Presupuesto Obra'!F40</f>
        <v>84.13</v>
      </c>
      <c r="E53" s="415">
        <f t="shared" si="5"/>
        <v>556.1</v>
      </c>
      <c r="F53" s="416"/>
      <c r="G53" s="417">
        <f t="shared" si="10"/>
        <v>0</v>
      </c>
      <c r="H53" s="418">
        <f t="shared" si="6"/>
        <v>556.1</v>
      </c>
      <c r="I53" s="205"/>
      <c r="J53" s="205"/>
      <c r="K53" s="205">
        <f t="shared" si="7"/>
        <v>556.1</v>
      </c>
      <c r="L53" s="205">
        <f t="shared" si="8"/>
        <v>556.1</v>
      </c>
    </row>
    <row r="54" spans="1:12" s="141" customFormat="1" ht="27" customHeight="1">
      <c r="A54" s="414" t="str">
        <f>+'6.- Presupuesto Obra'!C41</f>
        <v>TANQUE DE LAVAR</v>
      </c>
      <c r="B54" s="414" t="str">
        <f>+'6.- Presupuesto Obra'!D41</f>
        <v>U</v>
      </c>
      <c r="C54" s="414">
        <f>+'6.- Presupuesto Obra'!E41</f>
        <v>1</v>
      </c>
      <c r="D54" s="414">
        <f>+'6.- Presupuesto Obra'!F41</f>
        <v>418.49</v>
      </c>
      <c r="E54" s="415">
        <f t="shared" si="5"/>
        <v>418.49</v>
      </c>
      <c r="F54" s="416"/>
      <c r="G54" s="417">
        <f t="shared" si="10"/>
        <v>0</v>
      </c>
      <c r="H54" s="418">
        <f t="shared" si="6"/>
        <v>418.49</v>
      </c>
      <c r="I54" s="205"/>
      <c r="J54" s="205"/>
      <c r="K54" s="205">
        <f t="shared" si="7"/>
        <v>418.49</v>
      </c>
      <c r="L54" s="205">
        <f t="shared" si="8"/>
        <v>418.49</v>
      </c>
    </row>
    <row r="55" spans="1:12" s="141" customFormat="1" ht="27" customHeight="1">
      <c r="A55" s="414" t="str">
        <f>+'6.- Presupuesto Obra'!C42</f>
        <v xml:space="preserve">RECUBRIMIENTOS </v>
      </c>
      <c r="B55" s="414">
        <f>+'6.- Presupuesto Obra'!D42</f>
        <v>0</v>
      </c>
      <c r="C55" s="414">
        <f>+'6.- Presupuesto Obra'!E42</f>
        <v>0</v>
      </c>
      <c r="D55" s="414">
        <f>+'6.- Presupuesto Obra'!F42</f>
        <v>0</v>
      </c>
      <c r="E55" s="415">
        <f t="shared" si="5"/>
        <v>0</v>
      </c>
      <c r="F55" s="416"/>
      <c r="G55" s="417">
        <f t="shared" si="10"/>
        <v>0</v>
      </c>
      <c r="H55" s="418">
        <f t="shared" si="6"/>
        <v>0</v>
      </c>
      <c r="I55" s="205"/>
      <c r="J55" s="205"/>
      <c r="K55" s="205">
        <f t="shared" si="7"/>
        <v>0</v>
      </c>
      <c r="L55" s="205">
        <f t="shared" si="8"/>
        <v>0</v>
      </c>
    </row>
    <row r="56" spans="1:12" s="141" customFormat="1" ht="27" customHeight="1">
      <c r="A56" s="414" t="str">
        <f>+'6.- Presupuesto Obra'!C43</f>
        <v>EMPASTE INTERIOR</v>
      </c>
      <c r="B56" s="414" t="str">
        <f>+'6.- Presupuesto Obra'!D43</f>
        <v>M2</v>
      </c>
      <c r="C56" s="414">
        <f>+'6.- Presupuesto Obra'!E43</f>
        <v>194.42</v>
      </c>
      <c r="D56" s="414">
        <f>+'6.- Presupuesto Obra'!F43</f>
        <v>3.58</v>
      </c>
      <c r="E56" s="415">
        <f t="shared" si="5"/>
        <v>696.02</v>
      </c>
      <c r="F56" s="416"/>
      <c r="G56" s="417">
        <f t="shared" si="10"/>
        <v>0</v>
      </c>
      <c r="H56" s="418">
        <f t="shared" si="6"/>
        <v>696.02</v>
      </c>
      <c r="I56" s="205"/>
      <c r="J56" s="205"/>
      <c r="K56" s="205">
        <f t="shared" si="7"/>
        <v>696.02</v>
      </c>
      <c r="L56" s="205">
        <f t="shared" si="8"/>
        <v>696.02</v>
      </c>
    </row>
    <row r="57" spans="1:12" s="141" customFormat="1" ht="27" customHeight="1">
      <c r="A57" s="414" t="str">
        <f>+'6.- Presupuesto Obra'!C44</f>
        <v>EMPASTE EXTERIOR</v>
      </c>
      <c r="B57" s="414" t="str">
        <f>+'6.- Presupuesto Obra'!D44</f>
        <v>M2</v>
      </c>
      <c r="C57" s="414">
        <f>+'6.- Presupuesto Obra'!E44</f>
        <v>73.52</v>
      </c>
      <c r="D57" s="414">
        <f>+'6.- Presupuesto Obra'!F44</f>
        <v>4.16</v>
      </c>
      <c r="E57" s="415">
        <f t="shared" si="5"/>
        <v>305.83999999999997</v>
      </c>
      <c r="F57" s="416"/>
      <c r="G57" s="417">
        <f t="shared" si="10"/>
        <v>0</v>
      </c>
      <c r="H57" s="418">
        <f t="shared" si="6"/>
        <v>305.83999999999997</v>
      </c>
      <c r="I57" s="205"/>
      <c r="J57" s="205"/>
      <c r="K57" s="205">
        <f t="shared" si="7"/>
        <v>305.83999999999997</v>
      </c>
      <c r="L57" s="205">
        <f t="shared" si="8"/>
        <v>305.83999999999997</v>
      </c>
    </row>
    <row r="58" spans="1:12" s="141" customFormat="1" ht="27" customHeight="1">
      <c r="A58" s="414" t="str">
        <f>+'6.- Presupuesto Obra'!C45</f>
        <v>PINTURA SATINADA INTERIOR</v>
      </c>
      <c r="B58" s="414" t="str">
        <f>+'6.- Presupuesto Obra'!D45</f>
        <v>M2</v>
      </c>
      <c r="C58" s="414">
        <f>+'6.- Presupuesto Obra'!E45</f>
        <v>420.21</v>
      </c>
      <c r="D58" s="414">
        <f>+'6.- Presupuesto Obra'!F45</f>
        <v>6.62</v>
      </c>
      <c r="E58" s="415">
        <f t="shared" si="5"/>
        <v>2781.79</v>
      </c>
      <c r="F58" s="416"/>
      <c r="G58" s="417">
        <f t="shared" si="10"/>
        <v>0</v>
      </c>
      <c r="H58" s="418">
        <f t="shared" si="6"/>
        <v>2781.79</v>
      </c>
      <c r="I58" s="205"/>
      <c r="J58" s="205"/>
      <c r="K58" s="205">
        <f t="shared" si="7"/>
        <v>2781.79</v>
      </c>
      <c r="L58" s="205">
        <f t="shared" si="8"/>
        <v>2781.79</v>
      </c>
    </row>
    <row r="59" spans="1:12" s="141" customFormat="1" ht="27" customHeight="1">
      <c r="A59" s="414" t="str">
        <f>+'6.- Presupuesto Obra'!C46</f>
        <v>PINTURA SATINADA INTERIOR (3 MANOS) ESTILO LIMEWASH</v>
      </c>
      <c r="B59" s="414" t="str">
        <f>+'6.- Presupuesto Obra'!D46</f>
        <v>M2</v>
      </c>
      <c r="C59" s="414">
        <f>+'6.- Presupuesto Obra'!E46</f>
        <v>198.64</v>
      </c>
      <c r="D59" s="414">
        <f>+'6.- Presupuesto Obra'!F46</f>
        <v>12.33</v>
      </c>
      <c r="E59" s="415">
        <f t="shared" si="5"/>
        <v>2449.23</v>
      </c>
      <c r="F59" s="416"/>
      <c r="G59" s="417">
        <f t="shared" si="10"/>
        <v>0</v>
      </c>
      <c r="H59" s="418">
        <f t="shared" si="6"/>
        <v>2449.23</v>
      </c>
      <c r="I59" s="205"/>
      <c r="J59" s="205"/>
      <c r="K59" s="205">
        <f t="shared" si="7"/>
        <v>2449.23</v>
      </c>
      <c r="L59" s="205">
        <f t="shared" si="8"/>
        <v>2449.23</v>
      </c>
    </row>
    <row r="60" spans="1:12" s="141" customFormat="1" ht="27" customHeight="1">
      <c r="A60" s="414" t="str">
        <f>+'6.- Presupuesto Obra'!C47</f>
        <v>PORCELANATO PARA MESON TRAVENTINO (MESON - COCINA)</v>
      </c>
      <c r="B60" s="414" t="str">
        <f>+'6.- Presupuesto Obra'!D47</f>
        <v>M2</v>
      </c>
      <c r="C60" s="414">
        <f>+'6.- Presupuesto Obra'!E47</f>
        <v>2.38</v>
      </c>
      <c r="D60" s="414">
        <f>+'6.- Presupuesto Obra'!F47</f>
        <v>73.97</v>
      </c>
      <c r="E60" s="415">
        <f t="shared" si="5"/>
        <v>176.05</v>
      </c>
      <c r="F60" s="416"/>
      <c r="G60" s="417">
        <f t="shared" si="10"/>
        <v>0</v>
      </c>
      <c r="H60" s="418">
        <f t="shared" si="6"/>
        <v>176.05</v>
      </c>
      <c r="I60" s="205"/>
      <c r="J60" s="205"/>
      <c r="K60" s="205">
        <f t="shared" si="7"/>
        <v>176.05</v>
      </c>
      <c r="L60" s="205">
        <f t="shared" si="8"/>
        <v>176.05</v>
      </c>
    </row>
    <row r="61" spans="1:12" s="141" customFormat="1" ht="27" customHeight="1">
      <c r="A61" s="414" t="str">
        <f>+'6.- Presupuesto Obra'!C48</f>
        <v>REVESTIMIENTO CONTINUO PARA PAREDES INTERIORES</v>
      </c>
      <c r="B61" s="414" t="str">
        <f>+'6.- Presupuesto Obra'!D48</f>
        <v>M2</v>
      </c>
      <c r="C61" s="414">
        <f>+'6.- Presupuesto Obra'!E48</f>
        <v>278.87</v>
      </c>
      <c r="D61" s="414">
        <f>+'6.- Presupuesto Obra'!F48</f>
        <v>46.03</v>
      </c>
      <c r="E61" s="415">
        <f t="shared" si="5"/>
        <v>12836.39</v>
      </c>
      <c r="F61" s="416"/>
      <c r="G61" s="417">
        <f t="shared" si="10"/>
        <v>0</v>
      </c>
      <c r="H61" s="418">
        <f t="shared" si="6"/>
        <v>12836.39</v>
      </c>
      <c r="I61" s="205"/>
      <c r="J61" s="205"/>
      <c r="K61" s="205">
        <f t="shared" si="7"/>
        <v>12836.39</v>
      </c>
      <c r="L61" s="205">
        <f t="shared" si="8"/>
        <v>12836.39</v>
      </c>
    </row>
    <row r="62" spans="1:12" s="141" customFormat="1" ht="27" customHeight="1">
      <c r="A62" s="414" t="str">
        <f>+'6.- Presupuesto Obra'!C49</f>
        <v>PORCELANATO DECORATIVO (PARED BAJO EL MESON DE COCINA)</v>
      </c>
      <c r="B62" s="414" t="str">
        <f>+'6.- Presupuesto Obra'!D49</f>
        <v>M2</v>
      </c>
      <c r="C62" s="414">
        <f>+'6.- Presupuesto Obra'!E49</f>
        <v>3.71</v>
      </c>
      <c r="D62" s="414">
        <f>+'6.- Presupuesto Obra'!F49</f>
        <v>72.709999999999994</v>
      </c>
      <c r="E62" s="415">
        <f t="shared" si="5"/>
        <v>269.75</v>
      </c>
      <c r="F62" s="416"/>
      <c r="G62" s="417">
        <f t="shared" si="10"/>
        <v>0</v>
      </c>
      <c r="H62" s="418">
        <f t="shared" si="6"/>
        <v>269.75</v>
      </c>
      <c r="I62" s="205"/>
      <c r="J62" s="205"/>
      <c r="K62" s="205">
        <f t="shared" si="7"/>
        <v>269.75</v>
      </c>
      <c r="L62" s="205">
        <f t="shared" si="8"/>
        <v>269.75</v>
      </c>
    </row>
    <row r="63" spans="1:12" s="141" customFormat="1" ht="27" customHeight="1">
      <c r="A63" s="414" t="str">
        <f>+'6.- Presupuesto Obra'!C50</f>
        <v>PORCELANATO TIPO PIEDRA GRIS PARA BAÑOS</v>
      </c>
      <c r="B63" s="414" t="str">
        <f>+'6.- Presupuesto Obra'!D50</f>
        <v>M2</v>
      </c>
      <c r="C63" s="414">
        <f>+'6.- Presupuesto Obra'!E50</f>
        <v>21.03</v>
      </c>
      <c r="D63" s="414">
        <f>+'6.- Presupuesto Obra'!F50</f>
        <v>71.45</v>
      </c>
      <c r="E63" s="415">
        <f t="shared" si="5"/>
        <v>1502.59</v>
      </c>
      <c r="F63" s="416"/>
      <c r="G63" s="417">
        <f t="shared" si="10"/>
        <v>0</v>
      </c>
      <c r="H63" s="418">
        <f t="shared" si="6"/>
        <v>1502.59</v>
      </c>
      <c r="I63" s="205"/>
      <c r="J63" s="205"/>
      <c r="K63" s="205">
        <f t="shared" si="7"/>
        <v>1502.59</v>
      </c>
      <c r="L63" s="205">
        <f t="shared" si="8"/>
        <v>1502.59</v>
      </c>
    </row>
    <row r="64" spans="1:12" s="141" customFormat="1" ht="27" customHeight="1">
      <c r="A64" s="414" t="str">
        <f>+'6.- Presupuesto Obra'!C51</f>
        <v>PANEL DE PVC ANTIHUMEDAD EFECTO MADERA</v>
      </c>
      <c r="B64" s="414" t="str">
        <f>+'6.- Presupuesto Obra'!D51</f>
        <v>M2</v>
      </c>
      <c r="C64" s="414">
        <f>+'6.- Presupuesto Obra'!E51</f>
        <v>5.97</v>
      </c>
      <c r="D64" s="414">
        <f>+'6.- Presupuesto Obra'!F51</f>
        <v>30.23</v>
      </c>
      <c r="E64" s="415">
        <f t="shared" si="5"/>
        <v>180.47</v>
      </c>
      <c r="F64" s="416"/>
      <c r="G64" s="417">
        <f t="shared" si="10"/>
        <v>0</v>
      </c>
      <c r="H64" s="418">
        <f t="shared" si="6"/>
        <v>180.47</v>
      </c>
      <c r="I64" s="205"/>
      <c r="J64" s="205"/>
      <c r="K64" s="205">
        <f t="shared" si="7"/>
        <v>180.47</v>
      </c>
      <c r="L64" s="205">
        <f t="shared" si="8"/>
        <v>180.47</v>
      </c>
    </row>
    <row r="65" spans="1:12" s="141" customFormat="1" ht="27" customHeight="1">
      <c r="A65" s="414" t="str">
        <f>+'6.- Presupuesto Obra'!C52</f>
        <v>PORCELANATO TIPO MADERA DE 0.20X1.20 M (PISOS DE CAFETERIA)</v>
      </c>
      <c r="B65" s="414" t="str">
        <f>+'6.- Presupuesto Obra'!D52</f>
        <v>M2</v>
      </c>
      <c r="C65" s="414">
        <f>+'6.- Presupuesto Obra'!E52</f>
        <v>45.23</v>
      </c>
      <c r="D65" s="414">
        <f>+'6.- Presupuesto Obra'!F52</f>
        <v>53.81</v>
      </c>
      <c r="E65" s="415">
        <f t="shared" si="5"/>
        <v>2433.83</v>
      </c>
      <c r="F65" s="416"/>
      <c r="G65" s="417">
        <f t="shared" si="10"/>
        <v>0</v>
      </c>
      <c r="H65" s="418">
        <f t="shared" si="6"/>
        <v>2433.83</v>
      </c>
      <c r="I65" s="205"/>
      <c r="J65" s="205"/>
      <c r="K65" s="205">
        <f t="shared" si="7"/>
        <v>2433.83</v>
      </c>
      <c r="L65" s="205">
        <f t="shared" si="8"/>
        <v>2433.83</v>
      </c>
    </row>
    <row r="66" spans="1:12" s="141" customFormat="1" ht="27" customHeight="1">
      <c r="A66" s="414" t="str">
        <f>+'6.- Presupuesto Obra'!C53</f>
        <v>PORCELANATO TIPO PIEDRA GREY (PISOS DE BAÑOS)</v>
      </c>
      <c r="B66" s="414" t="str">
        <f>+'6.- Presupuesto Obra'!D53</f>
        <v>M2</v>
      </c>
      <c r="C66" s="414">
        <f>+'6.- Presupuesto Obra'!E53</f>
        <v>21.03</v>
      </c>
      <c r="D66" s="414">
        <f>+'6.- Presupuesto Obra'!F53</f>
        <v>71.45</v>
      </c>
      <c r="E66" s="415">
        <f t="shared" si="5"/>
        <v>1502.59</v>
      </c>
      <c r="F66" s="416"/>
      <c r="G66" s="417">
        <f t="shared" si="10"/>
        <v>0</v>
      </c>
      <c r="H66" s="418">
        <f t="shared" si="6"/>
        <v>1502.59</v>
      </c>
      <c r="I66" s="205"/>
      <c r="J66" s="205"/>
      <c r="K66" s="205">
        <f t="shared" si="7"/>
        <v>1502.59</v>
      </c>
      <c r="L66" s="205">
        <f t="shared" si="8"/>
        <v>1502.59</v>
      </c>
    </row>
    <row r="67" spans="1:12" s="141" customFormat="1" ht="27" customHeight="1">
      <c r="A67" s="414" t="str">
        <f>+'6.- Presupuesto Obra'!C54</f>
        <v>PISOS HDF COLOR MARRÓN PARA DOMITORIOS</v>
      </c>
      <c r="B67" s="414" t="str">
        <f>+'6.- Presupuesto Obra'!D54</f>
        <v>M2</v>
      </c>
      <c r="C67" s="414">
        <f>+'6.- Presupuesto Obra'!E54</f>
        <v>53.41</v>
      </c>
      <c r="D67" s="414">
        <f>+'6.- Presupuesto Obra'!F54</f>
        <v>39.85</v>
      </c>
      <c r="E67" s="415">
        <f t="shared" si="5"/>
        <v>2128.39</v>
      </c>
      <c r="F67" s="416"/>
      <c r="G67" s="417">
        <f t="shared" si="10"/>
        <v>0</v>
      </c>
      <c r="H67" s="418">
        <f t="shared" si="6"/>
        <v>2128.39</v>
      </c>
      <c r="I67" s="205"/>
      <c r="J67" s="205"/>
      <c r="K67" s="205">
        <f t="shared" si="7"/>
        <v>2128.39</v>
      </c>
      <c r="L67" s="205">
        <f t="shared" si="8"/>
        <v>2128.39</v>
      </c>
    </row>
    <row r="68" spans="1:12" s="141" customFormat="1" ht="27" customHeight="1">
      <c r="A68" s="414" t="str">
        <f>+'6.- Presupuesto Obra'!C55</f>
        <v>PORCELANATO TIPO CONCRETO ( PISOS DE COCINA, BODEGA Y LAVADO)</v>
      </c>
      <c r="B68" s="414" t="str">
        <f>+'6.- Presupuesto Obra'!D55</f>
        <v>M2</v>
      </c>
      <c r="C68" s="414">
        <f>+'6.- Presupuesto Obra'!E55</f>
        <v>25.91</v>
      </c>
      <c r="D68" s="414">
        <f>+'6.- Presupuesto Obra'!F55</f>
        <v>77.12</v>
      </c>
      <c r="E68" s="415">
        <f t="shared" si="5"/>
        <v>1998.18</v>
      </c>
      <c r="F68" s="416"/>
      <c r="G68" s="417">
        <f t="shared" si="10"/>
        <v>0</v>
      </c>
      <c r="H68" s="418">
        <f t="shared" si="6"/>
        <v>1998.18</v>
      </c>
      <c r="I68" s="205"/>
      <c r="J68" s="205"/>
      <c r="K68" s="205">
        <f t="shared" si="7"/>
        <v>1998.18</v>
      </c>
      <c r="L68" s="205">
        <f t="shared" si="8"/>
        <v>1998.18</v>
      </c>
    </row>
    <row r="69" spans="1:12" s="141" customFormat="1" ht="27" customHeight="1">
      <c r="A69" s="414" t="str">
        <f>+'6.- Presupuesto Obra'!C56</f>
        <v>REVESTIMIENTO DE MADERA COLOR MARRÓN RUSTICA PARA RESTAURANTE</v>
      </c>
      <c r="B69" s="414" t="str">
        <f>+'6.- Presupuesto Obra'!D56</f>
        <v>M2</v>
      </c>
      <c r="C69" s="414">
        <f>+'6.- Presupuesto Obra'!E56</f>
        <v>14.01</v>
      </c>
      <c r="D69" s="414">
        <f>+'6.- Presupuesto Obra'!F56</f>
        <v>37.21</v>
      </c>
      <c r="E69" s="415">
        <f t="shared" si="5"/>
        <v>521.30999999999995</v>
      </c>
      <c r="F69" s="416"/>
      <c r="G69" s="417">
        <f t="shared" si="10"/>
        <v>0</v>
      </c>
      <c r="H69" s="418">
        <f t="shared" si="6"/>
        <v>521.30999999999995</v>
      </c>
      <c r="I69" s="205"/>
      <c r="J69" s="205"/>
      <c r="K69" s="205">
        <f t="shared" si="7"/>
        <v>521.30999999999995</v>
      </c>
      <c r="L69" s="205">
        <f t="shared" si="8"/>
        <v>521.30999999999995</v>
      </c>
    </row>
    <row r="70" spans="1:12" s="141" customFormat="1" ht="27" customHeight="1">
      <c r="A70" s="414" t="str">
        <f>+'6.- Presupuesto Obra'!C57</f>
        <v>BARREDERA DE SEIKE LACADA H=6CM</v>
      </c>
      <c r="B70" s="414" t="str">
        <f>+'6.- Presupuesto Obra'!D57</f>
        <v>M</v>
      </c>
      <c r="C70" s="414">
        <f>+'6.- Presupuesto Obra'!E57</f>
        <v>171.99</v>
      </c>
      <c r="D70" s="414">
        <f>+'6.- Presupuesto Obra'!F57</f>
        <v>12.45</v>
      </c>
      <c r="E70" s="415">
        <f t="shared" si="5"/>
        <v>2141.2800000000002</v>
      </c>
      <c r="F70" s="416"/>
      <c r="G70" s="417">
        <f t="shared" si="10"/>
        <v>0</v>
      </c>
      <c r="H70" s="418">
        <f t="shared" si="6"/>
        <v>2141.2800000000002</v>
      </c>
      <c r="I70" s="205"/>
      <c r="J70" s="205"/>
      <c r="K70" s="205">
        <f t="shared" si="7"/>
        <v>2141.2800000000002</v>
      </c>
      <c r="L70" s="205">
        <f t="shared" si="8"/>
        <v>2141.2800000000002</v>
      </c>
    </row>
    <row r="71" spans="1:12" s="141" customFormat="1" ht="27" customHeight="1">
      <c r="A71" s="414" t="str">
        <f>+'6.- Presupuesto Obra'!C58</f>
        <v>FACHADA DE PIEDRA DECORATIVA</v>
      </c>
      <c r="B71" s="414" t="str">
        <f>+'6.- Presupuesto Obra'!D58</f>
        <v>M2</v>
      </c>
      <c r="C71" s="414">
        <f>+'6.- Presupuesto Obra'!E58</f>
        <v>26.69</v>
      </c>
      <c r="D71" s="414">
        <f>+'6.- Presupuesto Obra'!F58</f>
        <v>59.14</v>
      </c>
      <c r="E71" s="415">
        <f t="shared" si="5"/>
        <v>1578.45</v>
      </c>
      <c r="F71" s="416"/>
      <c r="G71" s="417">
        <f t="shared" si="10"/>
        <v>0</v>
      </c>
      <c r="H71" s="418">
        <f t="shared" si="6"/>
        <v>1578.45</v>
      </c>
      <c r="I71" s="205"/>
      <c r="J71" s="205"/>
      <c r="K71" s="205">
        <f t="shared" si="7"/>
        <v>1578.45</v>
      </c>
      <c r="L71" s="205">
        <f t="shared" si="8"/>
        <v>1578.45</v>
      </c>
    </row>
    <row r="72" spans="1:12" s="141" customFormat="1" ht="27" customHeight="1">
      <c r="A72" s="414" t="str">
        <f>+'6.- Presupuesto Obra'!C59</f>
        <v xml:space="preserve">CARPINTERIA </v>
      </c>
      <c r="B72" s="414">
        <f>+'6.- Presupuesto Obra'!D59</f>
        <v>0</v>
      </c>
      <c r="C72" s="414">
        <f>+'6.- Presupuesto Obra'!E59</f>
        <v>0</v>
      </c>
      <c r="D72" s="414">
        <f>+'6.- Presupuesto Obra'!F59</f>
        <v>0</v>
      </c>
      <c r="E72" s="415">
        <f t="shared" si="5"/>
        <v>0</v>
      </c>
      <c r="F72" s="416"/>
      <c r="G72" s="417">
        <f t="shared" si="10"/>
        <v>0</v>
      </c>
      <c r="H72" s="418">
        <f t="shared" si="6"/>
        <v>0</v>
      </c>
      <c r="I72" s="205"/>
      <c r="J72" s="205"/>
      <c r="K72" s="205">
        <f t="shared" si="7"/>
        <v>0</v>
      </c>
      <c r="L72" s="205">
        <f t="shared" si="8"/>
        <v>0</v>
      </c>
    </row>
    <row r="73" spans="1:12" s="141" customFormat="1" ht="27" customHeight="1">
      <c r="A73" s="414" t="str">
        <f>+'6.- Presupuesto Obra'!C60</f>
        <v>CORTINA DE BAÑO VIDRIO TEMPLADO</v>
      </c>
      <c r="B73" s="414" t="str">
        <f>+'6.- Presupuesto Obra'!D60</f>
        <v>M2</v>
      </c>
      <c r="C73" s="414">
        <f>+'6.- Presupuesto Obra'!E60</f>
        <v>14.16</v>
      </c>
      <c r="D73" s="414">
        <f>+'6.- Presupuesto Obra'!F60</f>
        <v>184.55</v>
      </c>
      <c r="E73" s="415">
        <f t="shared" si="5"/>
        <v>2613.23</v>
      </c>
      <c r="F73" s="416"/>
      <c r="G73" s="417">
        <f t="shared" si="10"/>
        <v>0</v>
      </c>
      <c r="H73" s="418">
        <f t="shared" si="6"/>
        <v>2613.23</v>
      </c>
      <c r="I73" s="205"/>
      <c r="J73" s="205"/>
      <c r="K73" s="205">
        <f t="shared" si="7"/>
        <v>2613.23</v>
      </c>
      <c r="L73" s="205">
        <f t="shared" si="8"/>
        <v>2613.23</v>
      </c>
    </row>
    <row r="74" spans="1:12" s="141" customFormat="1" ht="27" customHeight="1">
      <c r="A74" s="414" t="str">
        <f>+'6.- Presupuesto Obra'!C61</f>
        <v>MAMPARA DE VIDRIO LAMINADO 6MM, ALUMINIO NATURAL NEGRO</v>
      </c>
      <c r="B74" s="414" t="str">
        <f>+'6.- Presupuesto Obra'!D61</f>
        <v>M2</v>
      </c>
      <c r="C74" s="414">
        <f>+'6.- Presupuesto Obra'!E61</f>
        <v>14.04</v>
      </c>
      <c r="D74" s="414">
        <f>+'6.- Presupuesto Obra'!F61</f>
        <v>106.14</v>
      </c>
      <c r="E74" s="415">
        <f t="shared" si="5"/>
        <v>1490.21</v>
      </c>
      <c r="F74" s="416"/>
      <c r="G74" s="417">
        <f t="shared" si="10"/>
        <v>0</v>
      </c>
      <c r="H74" s="418">
        <f t="shared" si="6"/>
        <v>1490.21</v>
      </c>
      <c r="I74" s="205"/>
      <c r="J74" s="205"/>
      <c r="K74" s="205">
        <f t="shared" si="7"/>
        <v>1490.21</v>
      </c>
      <c r="L74" s="205">
        <f t="shared" si="8"/>
        <v>1490.21</v>
      </c>
    </row>
    <row r="75" spans="1:12" s="141" customFormat="1" ht="27" customHeight="1">
      <c r="A75" s="414" t="str">
        <f>+'6.- Presupuesto Obra'!C62</f>
        <v>MAMPARA DE VIDRIO TEMPLADO 10MM, ALUMINIO NATURAL NEGRO</v>
      </c>
      <c r="B75" s="414" t="str">
        <f>+'6.- Presupuesto Obra'!D62</f>
        <v>M2</v>
      </c>
      <c r="C75" s="414">
        <f>+'6.- Presupuesto Obra'!E62</f>
        <v>8.93</v>
      </c>
      <c r="D75" s="414">
        <f>+'6.- Presupuesto Obra'!F62</f>
        <v>150.13</v>
      </c>
      <c r="E75" s="415">
        <f t="shared" si="5"/>
        <v>1340.66</v>
      </c>
      <c r="F75" s="416"/>
      <c r="G75" s="417">
        <f t="shared" si="10"/>
        <v>0</v>
      </c>
      <c r="H75" s="418">
        <f t="shared" si="6"/>
        <v>1340.66</v>
      </c>
      <c r="I75" s="205"/>
      <c r="J75" s="205"/>
      <c r="K75" s="205">
        <f t="shared" si="7"/>
        <v>1340.66</v>
      </c>
      <c r="L75" s="205">
        <f t="shared" si="8"/>
        <v>1340.66</v>
      </c>
    </row>
    <row r="76" spans="1:12" s="141" customFormat="1" ht="27" customHeight="1">
      <c r="A76" s="414" t="str">
        <f>+'6.- Presupuesto Obra'!C63</f>
        <v>PASAMANOS DE ACERO INOXIDABLE 2" Y VIDRIO TEMPLADO 10MM</v>
      </c>
      <c r="B76" s="414" t="str">
        <f>+'6.- Presupuesto Obra'!D63</f>
        <v>M</v>
      </c>
      <c r="C76" s="414">
        <f>+'6.- Presupuesto Obra'!E63</f>
        <v>4.53</v>
      </c>
      <c r="D76" s="414">
        <f>+'6.- Presupuesto Obra'!F63</f>
        <v>185.02</v>
      </c>
      <c r="E76" s="415">
        <f t="shared" si="5"/>
        <v>838.14</v>
      </c>
      <c r="F76" s="416"/>
      <c r="G76" s="417">
        <f t="shared" si="10"/>
        <v>0</v>
      </c>
      <c r="H76" s="418">
        <f t="shared" si="6"/>
        <v>838.14</v>
      </c>
      <c r="I76" s="205"/>
      <c r="J76" s="205"/>
      <c r="K76" s="205">
        <f t="shared" si="7"/>
        <v>838.14</v>
      </c>
      <c r="L76" s="205">
        <f t="shared" si="8"/>
        <v>838.14</v>
      </c>
    </row>
    <row r="77" spans="1:12" s="141" customFormat="1" ht="27" customHeight="1">
      <c r="A77" s="414" t="str">
        <f>+'6.- Presupuesto Obra'!C64</f>
        <v>PUERTA DE VIDRIO TEMPLADO 10MM</v>
      </c>
      <c r="B77" s="414" t="str">
        <f>+'6.- Presupuesto Obra'!D64</f>
        <v>U</v>
      </c>
      <c r="C77" s="414">
        <f>+'6.- Presupuesto Obra'!E64</f>
        <v>1.03</v>
      </c>
      <c r="D77" s="414">
        <f>+'6.- Presupuesto Obra'!F64</f>
        <v>352.95</v>
      </c>
      <c r="E77" s="415">
        <f t="shared" si="5"/>
        <v>363.54</v>
      </c>
      <c r="F77" s="416"/>
      <c r="G77" s="417">
        <f t="shared" si="10"/>
        <v>0</v>
      </c>
      <c r="H77" s="418">
        <f t="shared" si="6"/>
        <v>363.54</v>
      </c>
      <c r="I77" s="205"/>
      <c r="J77" s="205"/>
      <c r="K77" s="205">
        <f t="shared" si="7"/>
        <v>363.54</v>
      </c>
      <c r="L77" s="205">
        <f t="shared" si="8"/>
        <v>363.54</v>
      </c>
    </row>
    <row r="78" spans="1:12" s="141" customFormat="1" ht="27" customHeight="1">
      <c r="A78" s="414" t="str">
        <f>+'6.- Presupuesto Obra'!C65</f>
        <v>VENTANA CORREDIZA DE ALUMINIO NEGRO Y VIDRIO FLOTADO 6MM</v>
      </c>
      <c r="B78" s="414" t="str">
        <f>+'6.- Presupuesto Obra'!D65</f>
        <v>M2</v>
      </c>
      <c r="C78" s="414">
        <f>+'6.- Presupuesto Obra'!E65</f>
        <v>16.71</v>
      </c>
      <c r="D78" s="414">
        <f>+'6.- Presupuesto Obra'!F65</f>
        <v>70.62</v>
      </c>
      <c r="E78" s="415">
        <f t="shared" si="5"/>
        <v>1180.06</v>
      </c>
      <c r="F78" s="416"/>
      <c r="G78" s="417">
        <f t="shared" si="10"/>
        <v>0</v>
      </c>
      <c r="H78" s="418">
        <f t="shared" si="6"/>
        <v>1180.06</v>
      </c>
      <c r="I78" s="205"/>
      <c r="J78" s="205"/>
      <c r="K78" s="205">
        <f t="shared" si="7"/>
        <v>1180.06</v>
      </c>
      <c r="L78" s="205">
        <f t="shared" si="8"/>
        <v>1180.06</v>
      </c>
    </row>
    <row r="79" spans="1:12" s="141" customFormat="1" ht="27" customHeight="1">
      <c r="A79" s="414" t="str">
        <f>+'6.- Presupuesto Obra'!C66</f>
        <v>PUERTA METALICA Y ESTERILLA (2.10X0.90)M, INC. CERRADURA</v>
      </c>
      <c r="B79" s="414" t="str">
        <f>+'6.- Presupuesto Obra'!D66</f>
        <v>U</v>
      </c>
      <c r="C79" s="414">
        <f>+'6.- Presupuesto Obra'!E66</f>
        <v>5</v>
      </c>
      <c r="D79" s="414">
        <f>+'6.- Presupuesto Obra'!F66</f>
        <v>260.18</v>
      </c>
      <c r="E79" s="415">
        <f t="shared" si="5"/>
        <v>1300.9000000000001</v>
      </c>
      <c r="F79" s="416"/>
      <c r="G79" s="417">
        <f t="shared" si="10"/>
        <v>0</v>
      </c>
      <c r="H79" s="418">
        <f t="shared" si="6"/>
        <v>1300.9000000000001</v>
      </c>
      <c r="I79" s="205"/>
      <c r="J79" s="205"/>
      <c r="K79" s="205">
        <f t="shared" si="7"/>
        <v>1300.9000000000001</v>
      </c>
      <c r="L79" s="205">
        <f t="shared" si="8"/>
        <v>1300.9000000000001</v>
      </c>
    </row>
    <row r="80" spans="1:12" s="141" customFormat="1" ht="27" customHeight="1">
      <c r="A80" s="414" t="str">
        <f>+'6.- Presupuesto Obra'!C67</f>
        <v>PUERTA METALICA Y ESTERILLA (2.10X0.70)M, INC. CERRADURA</v>
      </c>
      <c r="B80" s="414" t="str">
        <f>+'6.- Presupuesto Obra'!D67</f>
        <v>U</v>
      </c>
      <c r="C80" s="414">
        <f>+'6.- Presupuesto Obra'!E67</f>
        <v>8</v>
      </c>
      <c r="D80" s="414">
        <f>+'6.- Presupuesto Obra'!F67</f>
        <v>257.52999999999997</v>
      </c>
      <c r="E80" s="415">
        <f t="shared" si="5"/>
        <v>2060.2399999999998</v>
      </c>
      <c r="F80" s="416"/>
      <c r="G80" s="417">
        <f t="shared" si="10"/>
        <v>0</v>
      </c>
      <c r="H80" s="418">
        <f t="shared" si="6"/>
        <v>2060.2399999999998</v>
      </c>
      <c r="I80" s="205"/>
      <c r="J80" s="205"/>
      <c r="K80" s="205">
        <f t="shared" si="7"/>
        <v>2060.2399999999998</v>
      </c>
      <c r="L80" s="205">
        <f t="shared" si="8"/>
        <v>2060.2399999999998</v>
      </c>
    </row>
    <row r="81" spans="1:12" s="141" customFormat="1" ht="27" customHeight="1">
      <c r="A81" s="414" t="str">
        <f>+'6.- Presupuesto Obra'!C68</f>
        <v>CLOSET DE MADERA CONTRACHAPADA</v>
      </c>
      <c r="B81" s="414" t="str">
        <f>+'6.- Presupuesto Obra'!D68</f>
        <v>M2</v>
      </c>
      <c r="C81" s="414">
        <f>+'6.- Presupuesto Obra'!E68</f>
        <v>17.43</v>
      </c>
      <c r="D81" s="414">
        <f>+'6.- Presupuesto Obra'!F68</f>
        <v>292.95999999999998</v>
      </c>
      <c r="E81" s="415">
        <f t="shared" si="5"/>
        <v>5106.29</v>
      </c>
      <c r="F81" s="416"/>
      <c r="G81" s="417">
        <f t="shared" si="10"/>
        <v>0</v>
      </c>
      <c r="H81" s="418">
        <f t="shared" si="6"/>
        <v>5106.29</v>
      </c>
      <c r="I81" s="205"/>
      <c r="J81" s="205"/>
      <c r="K81" s="205">
        <f t="shared" si="7"/>
        <v>5106.29</v>
      </c>
      <c r="L81" s="205">
        <f t="shared" si="8"/>
        <v>5106.29</v>
      </c>
    </row>
    <row r="82" spans="1:12" s="141" customFormat="1" ht="27" customHeight="1">
      <c r="A82" s="414" t="str">
        <f>+'6.- Presupuesto Obra'!C69</f>
        <v>MESON DE COCINA INCLUYE  MUEBLE BAJO DE ACERO INOXIDABLE</v>
      </c>
      <c r="B82" s="414" t="str">
        <f>+'6.- Presupuesto Obra'!D69</f>
        <v>M</v>
      </c>
      <c r="C82" s="414">
        <f>+'6.- Presupuesto Obra'!E69</f>
        <v>6.33</v>
      </c>
      <c r="D82" s="414">
        <f>+'6.- Presupuesto Obra'!F69</f>
        <v>198.8</v>
      </c>
      <c r="E82" s="415">
        <f t="shared" si="5"/>
        <v>1258.4000000000001</v>
      </c>
      <c r="F82" s="416"/>
      <c r="G82" s="417">
        <f t="shared" si="10"/>
        <v>0</v>
      </c>
      <c r="H82" s="418">
        <f t="shared" si="6"/>
        <v>1258.4000000000001</v>
      </c>
      <c r="I82" s="205"/>
      <c r="J82" s="205"/>
      <c r="K82" s="205">
        <f t="shared" si="7"/>
        <v>1258.4000000000001</v>
      </c>
      <c r="L82" s="205">
        <f t="shared" si="8"/>
        <v>1258.4000000000001</v>
      </c>
    </row>
    <row r="83" spans="1:12" s="141" customFormat="1" ht="27" customHeight="1">
      <c r="A83" s="414" t="str">
        <f>+'6.- Presupuesto Obra'!C70</f>
        <v>MUEBLE ALTO DE COCINA EN AGLOMERADO MELAMINICO E=15MM</v>
      </c>
      <c r="B83" s="414" t="str">
        <f>+'6.- Presupuesto Obra'!D70</f>
        <v>M</v>
      </c>
      <c r="C83" s="414">
        <f>+'6.- Presupuesto Obra'!E70</f>
        <v>3.96</v>
      </c>
      <c r="D83" s="414">
        <f>+'6.- Presupuesto Obra'!F70</f>
        <v>108</v>
      </c>
      <c r="E83" s="415">
        <f t="shared" si="5"/>
        <v>427.68</v>
      </c>
      <c r="F83" s="416"/>
      <c r="G83" s="417">
        <f t="shared" si="10"/>
        <v>0</v>
      </c>
      <c r="H83" s="418">
        <f t="shared" si="6"/>
        <v>427.68</v>
      </c>
      <c r="I83" s="205"/>
      <c r="J83" s="205"/>
      <c r="K83" s="205">
        <f t="shared" si="7"/>
        <v>427.68</v>
      </c>
      <c r="L83" s="205">
        <f t="shared" si="8"/>
        <v>427.68</v>
      </c>
    </row>
    <row r="84" spans="1:12" s="141" customFormat="1" ht="27" customHeight="1">
      <c r="A84" s="414" t="str">
        <f>+'6.- Presupuesto Obra'!C71</f>
        <v>PERGOLA DE ACERO, MADERA Y VIDRIO LAMINADO 8MM</v>
      </c>
      <c r="B84" s="414" t="str">
        <f>+'6.- Presupuesto Obra'!D71</f>
        <v>M2</v>
      </c>
      <c r="C84" s="414">
        <f>+'6.- Presupuesto Obra'!E71</f>
        <v>3.3</v>
      </c>
      <c r="D84" s="414">
        <f>+'6.- Presupuesto Obra'!F71</f>
        <v>122.83</v>
      </c>
      <c r="E84" s="415">
        <f t="shared" si="5"/>
        <v>405.34</v>
      </c>
      <c r="F84" s="416"/>
      <c r="G84" s="417">
        <f t="shared" si="10"/>
        <v>0</v>
      </c>
      <c r="H84" s="418">
        <f t="shared" si="6"/>
        <v>405.34</v>
      </c>
      <c r="I84" s="205"/>
      <c r="J84" s="205"/>
      <c r="K84" s="205">
        <f t="shared" si="7"/>
        <v>405.34</v>
      </c>
      <c r="L84" s="205">
        <f t="shared" si="8"/>
        <v>405.34</v>
      </c>
    </row>
    <row r="85" spans="1:12" s="141" customFormat="1" ht="27" customHeight="1">
      <c r="A85" s="414" t="str">
        <f>+'6.- Presupuesto Obra'!C72</f>
        <v>MESA CENTRAL DE MADERA PARA CAFETERIA, INC. FIJACION A TECHO</v>
      </c>
      <c r="B85" s="414" t="str">
        <f>+'6.- Presupuesto Obra'!D72</f>
        <v>M</v>
      </c>
      <c r="C85" s="414">
        <f>+'6.- Presupuesto Obra'!E72</f>
        <v>7.78</v>
      </c>
      <c r="D85" s="414">
        <f>+'6.- Presupuesto Obra'!F72</f>
        <v>237.44</v>
      </c>
      <c r="E85" s="415">
        <f t="shared" si="5"/>
        <v>1847.28</v>
      </c>
      <c r="F85" s="416"/>
      <c r="G85" s="417">
        <f t="shared" si="10"/>
        <v>0</v>
      </c>
      <c r="H85" s="418">
        <f t="shared" si="6"/>
        <v>1847.28</v>
      </c>
      <c r="I85" s="205"/>
      <c r="J85" s="205"/>
      <c r="K85" s="205">
        <f t="shared" si="7"/>
        <v>1847.28</v>
      </c>
      <c r="L85" s="205">
        <f t="shared" si="8"/>
        <v>1847.28</v>
      </c>
    </row>
    <row r="86" spans="1:12" s="141" customFormat="1" ht="27" customHeight="1">
      <c r="A86" s="414" t="str">
        <f>+'6.- Presupuesto Obra'!C73</f>
        <v>CLOSET EXHIBIDOR</v>
      </c>
      <c r="B86" s="414" t="str">
        <f>+'6.- Presupuesto Obra'!D73</f>
        <v>M2</v>
      </c>
      <c r="C86" s="414">
        <f>+'6.- Presupuesto Obra'!E73</f>
        <v>16.09</v>
      </c>
      <c r="D86" s="414">
        <f>+'6.- Presupuesto Obra'!F73</f>
        <v>128.56</v>
      </c>
      <c r="E86" s="415">
        <f t="shared" si="5"/>
        <v>2068.5300000000002</v>
      </c>
      <c r="F86" s="416"/>
      <c r="G86" s="417">
        <f t="shared" si="10"/>
        <v>0</v>
      </c>
      <c r="H86" s="418">
        <f t="shared" si="6"/>
        <v>2068.5300000000002</v>
      </c>
      <c r="I86" s="205"/>
      <c r="J86" s="205"/>
      <c r="K86" s="205">
        <f t="shared" si="7"/>
        <v>2068.5300000000002</v>
      </c>
      <c r="L86" s="205">
        <f t="shared" si="8"/>
        <v>2068.5300000000002</v>
      </c>
    </row>
    <row r="87" spans="1:12" s="141" customFormat="1" ht="27" customHeight="1">
      <c r="A87" s="414" t="str">
        <f>+'6.- Presupuesto Obra'!C74</f>
        <v>TABIQUERIA DE MADERA Y ESTERILLA PARA DORMITORIO</v>
      </c>
      <c r="B87" s="414" t="str">
        <f>+'6.- Presupuesto Obra'!D74</f>
        <v>M2</v>
      </c>
      <c r="C87" s="414">
        <f>+'6.- Presupuesto Obra'!E74</f>
        <v>32.630000000000003</v>
      </c>
      <c r="D87" s="414">
        <f>+'6.- Presupuesto Obra'!F74</f>
        <v>155.58000000000001</v>
      </c>
      <c r="E87" s="415">
        <f t="shared" si="5"/>
        <v>5076.58</v>
      </c>
      <c r="F87" s="416"/>
      <c r="G87" s="417">
        <f t="shared" si="10"/>
        <v>0</v>
      </c>
      <c r="H87" s="418">
        <f t="shared" si="6"/>
        <v>5076.58</v>
      </c>
      <c r="I87" s="205"/>
      <c r="J87" s="205"/>
      <c r="K87" s="205">
        <f t="shared" si="7"/>
        <v>5076.58</v>
      </c>
      <c r="L87" s="205">
        <f t="shared" si="8"/>
        <v>5076.58</v>
      </c>
    </row>
    <row r="88" spans="1:12" s="141" customFormat="1" ht="27" customHeight="1">
      <c r="A88" s="414" t="str">
        <f>+'6.- Presupuesto Obra'!C75</f>
        <v>MASETEROS DE MADERA</v>
      </c>
      <c r="B88" s="414" t="str">
        <f>+'6.- Presupuesto Obra'!D75</f>
        <v>U</v>
      </c>
      <c r="C88" s="414">
        <f>+'6.- Presupuesto Obra'!E75</f>
        <v>6</v>
      </c>
      <c r="D88" s="414">
        <f>+'6.- Presupuesto Obra'!F75</f>
        <v>569.26</v>
      </c>
      <c r="E88" s="415">
        <f t="shared" si="5"/>
        <v>3415.56</v>
      </c>
      <c r="F88" s="416"/>
      <c r="G88" s="417">
        <f t="shared" si="10"/>
        <v>0</v>
      </c>
      <c r="H88" s="418">
        <f t="shared" si="6"/>
        <v>3415.56</v>
      </c>
      <c r="I88" s="205"/>
      <c r="J88" s="205"/>
      <c r="K88" s="205">
        <f t="shared" si="7"/>
        <v>3415.56</v>
      </c>
      <c r="L88" s="205">
        <f t="shared" si="8"/>
        <v>3415.56</v>
      </c>
    </row>
    <row r="89" spans="1:12" s="141" customFormat="1" ht="27" customHeight="1">
      <c r="A89" s="414" t="str">
        <f>+'6.- Presupuesto Obra'!C76</f>
        <v>ROTULO CON PERFILES DE ACERO Y MALLA ELECTROSOLDADA</v>
      </c>
      <c r="B89" s="414" t="str">
        <f>+'6.- Presupuesto Obra'!D76</f>
        <v>U</v>
      </c>
      <c r="C89" s="414">
        <f>+'6.- Presupuesto Obra'!E76</f>
        <v>1</v>
      </c>
      <c r="D89" s="414">
        <f>+'6.- Presupuesto Obra'!F76</f>
        <v>114.51</v>
      </c>
      <c r="E89" s="415">
        <f t="shared" si="5"/>
        <v>114.51</v>
      </c>
      <c r="F89" s="416"/>
      <c r="G89" s="417">
        <f t="shared" si="10"/>
        <v>0</v>
      </c>
      <c r="H89" s="418">
        <f t="shared" si="6"/>
        <v>114.51</v>
      </c>
      <c r="I89" s="205"/>
      <c r="J89" s="205"/>
      <c r="K89" s="205">
        <f t="shared" ref="K89:K140" si="11">H89</f>
        <v>114.51</v>
      </c>
      <c r="L89" s="205">
        <f t="shared" si="8"/>
        <v>114.51</v>
      </c>
    </row>
    <row r="90" spans="1:12" s="141" customFormat="1" ht="27" customHeight="1">
      <c r="A90" s="414" t="str">
        <f>+'6.- Presupuesto Obra'!C77</f>
        <v>LOGO Y LETRAS DE ACERO "NINA WARMI"</v>
      </c>
      <c r="B90" s="414" t="str">
        <f>+'6.- Presupuesto Obra'!D77</f>
        <v>U</v>
      </c>
      <c r="C90" s="414">
        <f>+'6.- Presupuesto Obra'!E77</f>
        <v>3</v>
      </c>
      <c r="D90" s="414">
        <f>+'6.- Presupuesto Obra'!F77</f>
        <v>1091.33</v>
      </c>
      <c r="E90" s="415">
        <f t="shared" ref="E90:E140" si="12">ROUND(C90*D90,2)</f>
        <v>3273.99</v>
      </c>
      <c r="F90" s="416"/>
      <c r="G90" s="417">
        <f t="shared" si="10"/>
        <v>0</v>
      </c>
      <c r="H90" s="418">
        <f t="shared" ref="H90:H140" si="13">ROUND(+E90+G90,2)</f>
        <v>3273.99</v>
      </c>
      <c r="I90" s="205"/>
      <c r="J90" s="205"/>
      <c r="K90" s="205">
        <f t="shared" si="11"/>
        <v>3273.99</v>
      </c>
      <c r="L90" s="205">
        <f t="shared" ref="L90:L140" si="14">+I90+J90+K90</f>
        <v>3273.99</v>
      </c>
    </row>
    <row r="91" spans="1:12" s="141" customFormat="1" ht="27" customHeight="1">
      <c r="A91" s="414" t="str">
        <f>+'6.- Presupuesto Obra'!C78</f>
        <v xml:space="preserve">CIELO RASO </v>
      </c>
      <c r="B91" s="414">
        <f>+'6.- Presupuesto Obra'!D78</f>
        <v>0</v>
      </c>
      <c r="C91" s="414">
        <f>+'6.- Presupuesto Obra'!E78</f>
        <v>0</v>
      </c>
      <c r="D91" s="414">
        <f>+'6.- Presupuesto Obra'!F78</f>
        <v>0</v>
      </c>
      <c r="E91" s="415">
        <f t="shared" si="12"/>
        <v>0</v>
      </c>
      <c r="F91" s="416"/>
      <c r="G91" s="417">
        <f t="shared" si="10"/>
        <v>0</v>
      </c>
      <c r="H91" s="418">
        <f t="shared" si="13"/>
        <v>0</v>
      </c>
      <c r="I91" s="205"/>
      <c r="J91" s="205"/>
      <c r="K91" s="205">
        <f t="shared" si="11"/>
        <v>0</v>
      </c>
      <c r="L91" s="205">
        <f t="shared" si="14"/>
        <v>0</v>
      </c>
    </row>
    <row r="92" spans="1:12" s="141" customFormat="1" ht="27" customHeight="1">
      <c r="A92" s="414" t="str">
        <f>+'6.- Presupuesto Obra'!C79</f>
        <v>CIELO RASO DE MADERA  Y SACOS DE YUTE</v>
      </c>
      <c r="B92" s="414" t="str">
        <f>+'6.- Presupuesto Obra'!D79</f>
        <v>M2</v>
      </c>
      <c r="C92" s="414">
        <f>+'6.- Presupuesto Obra'!E79</f>
        <v>45.23</v>
      </c>
      <c r="D92" s="414">
        <f>+'6.- Presupuesto Obra'!F79</f>
        <v>121.59</v>
      </c>
      <c r="E92" s="415">
        <f t="shared" si="12"/>
        <v>5499.52</v>
      </c>
      <c r="F92" s="416"/>
      <c r="G92" s="417">
        <f t="shared" si="10"/>
        <v>0</v>
      </c>
      <c r="H92" s="418">
        <f t="shared" si="13"/>
        <v>5499.52</v>
      </c>
      <c r="I92" s="205"/>
      <c r="J92" s="205"/>
      <c r="K92" s="205">
        <f t="shared" si="11"/>
        <v>5499.52</v>
      </c>
      <c r="L92" s="205">
        <f t="shared" si="14"/>
        <v>5499.52</v>
      </c>
    </row>
    <row r="93" spans="1:12" s="141" customFormat="1" ht="27" customHeight="1">
      <c r="A93" s="414" t="str">
        <f>+'6.- Presupuesto Obra'!C80</f>
        <v>CIELO RASO GYPSUM 1/2", INC. EMPASTE Y PINTURA</v>
      </c>
      <c r="B93" s="414" t="str">
        <f>+'6.- Presupuesto Obra'!D80</f>
        <v>M2</v>
      </c>
      <c r="C93" s="414">
        <f>+'6.- Presupuesto Obra'!E80</f>
        <v>91.41</v>
      </c>
      <c r="D93" s="414">
        <f>+'6.- Presupuesto Obra'!F80</f>
        <v>22.96</v>
      </c>
      <c r="E93" s="415">
        <f t="shared" si="12"/>
        <v>2098.77</v>
      </c>
      <c r="F93" s="416"/>
      <c r="G93" s="417">
        <f t="shared" si="10"/>
        <v>0</v>
      </c>
      <c r="H93" s="418">
        <f t="shared" si="13"/>
        <v>2098.77</v>
      </c>
      <c r="I93" s="205"/>
      <c r="J93" s="205"/>
      <c r="K93" s="205">
        <f t="shared" si="11"/>
        <v>2098.77</v>
      </c>
      <c r="L93" s="205">
        <f t="shared" si="14"/>
        <v>2098.77</v>
      </c>
    </row>
    <row r="94" spans="1:12" s="141" customFormat="1" ht="27" customHeight="1">
      <c r="A94" s="414" t="str">
        <f>+'6.- Presupuesto Obra'!C81</f>
        <v>CIELO RASO GYPSUM DE ANTIHUMEDAD 1/2" INC. EMPASTE Y PINTURA</v>
      </c>
      <c r="B94" s="414" t="str">
        <f>+'6.- Presupuesto Obra'!D81</f>
        <v>M2</v>
      </c>
      <c r="C94" s="414">
        <f>+'6.- Presupuesto Obra'!E81</f>
        <v>41.43</v>
      </c>
      <c r="D94" s="414">
        <f>+'6.- Presupuesto Obra'!F81</f>
        <v>23.12</v>
      </c>
      <c r="E94" s="415">
        <f t="shared" si="12"/>
        <v>957.86</v>
      </c>
      <c r="F94" s="416"/>
      <c r="G94" s="417">
        <f t="shared" ref="G94:G115" si="15">+F94*E94</f>
        <v>0</v>
      </c>
      <c r="H94" s="418">
        <f t="shared" si="13"/>
        <v>957.86</v>
      </c>
      <c r="I94" s="205"/>
      <c r="J94" s="205"/>
      <c r="K94" s="205">
        <f t="shared" si="11"/>
        <v>957.86</v>
      </c>
      <c r="L94" s="205">
        <f t="shared" si="14"/>
        <v>957.86</v>
      </c>
    </row>
    <row r="95" spans="1:12" s="141" customFormat="1" ht="27" customHeight="1">
      <c r="A95" s="414" t="str">
        <f>+'6.- Presupuesto Obra'!C82</f>
        <v>VIGAS DE PVC ACABADO TIPO MADERA 5.70X0.20M</v>
      </c>
      <c r="B95" s="414" t="str">
        <f>+'6.- Presupuesto Obra'!D82</f>
        <v>M</v>
      </c>
      <c r="C95" s="414">
        <f>+'6.- Presupuesto Obra'!E82</f>
        <v>32.909999999999997</v>
      </c>
      <c r="D95" s="414">
        <f>+'6.- Presupuesto Obra'!F82</f>
        <v>22.16</v>
      </c>
      <c r="E95" s="415">
        <f t="shared" si="12"/>
        <v>729.29</v>
      </c>
      <c r="F95" s="416"/>
      <c r="G95" s="417">
        <f t="shared" si="15"/>
        <v>0</v>
      </c>
      <c r="H95" s="418">
        <f t="shared" si="13"/>
        <v>729.29</v>
      </c>
      <c r="I95" s="205"/>
      <c r="J95" s="205"/>
      <c r="K95" s="205">
        <f t="shared" si="11"/>
        <v>729.29</v>
      </c>
      <c r="L95" s="205">
        <f t="shared" si="14"/>
        <v>729.29</v>
      </c>
    </row>
    <row r="96" spans="1:12" s="141" customFormat="1" ht="27" customHeight="1">
      <c r="A96" s="414" t="str">
        <f>+'6.- Presupuesto Obra'!C83</f>
        <v xml:space="preserve">INSTALACIONES DE AGUA POTABLE </v>
      </c>
      <c r="B96" s="414">
        <f>+'6.- Presupuesto Obra'!D83</f>
        <v>0</v>
      </c>
      <c r="C96" s="414">
        <f>+'6.- Presupuesto Obra'!E83</f>
        <v>0</v>
      </c>
      <c r="D96" s="414">
        <f>+'6.- Presupuesto Obra'!F83</f>
        <v>0</v>
      </c>
      <c r="E96" s="415">
        <f t="shared" si="12"/>
        <v>0</v>
      </c>
      <c r="F96" s="416"/>
      <c r="G96" s="417">
        <f t="shared" si="15"/>
        <v>0</v>
      </c>
      <c r="H96" s="418">
        <f t="shared" si="13"/>
        <v>0</v>
      </c>
      <c r="I96" s="205"/>
      <c r="J96" s="205"/>
      <c r="K96" s="205">
        <f t="shared" si="11"/>
        <v>0</v>
      </c>
      <c r="L96" s="205">
        <f t="shared" si="14"/>
        <v>0</v>
      </c>
    </row>
    <row r="97" spans="1:12" s="141" customFormat="1" ht="27" customHeight="1">
      <c r="A97" s="414" t="str">
        <f>+'6.- Presupuesto Obra'!C84</f>
        <v>PUNTO DE AGUA CALIENTE PVC 1/2" ROSCABLE INC. ACCESORIOS</v>
      </c>
      <c r="B97" s="414" t="str">
        <f>+'6.- Presupuesto Obra'!D84</f>
        <v>PTO</v>
      </c>
      <c r="C97" s="414">
        <f>+'6.- Presupuesto Obra'!E84</f>
        <v>11</v>
      </c>
      <c r="D97" s="414">
        <f>+'6.- Presupuesto Obra'!F84</f>
        <v>32.4</v>
      </c>
      <c r="E97" s="415">
        <f t="shared" si="12"/>
        <v>356.4</v>
      </c>
      <c r="F97" s="416"/>
      <c r="G97" s="417">
        <f t="shared" si="15"/>
        <v>0</v>
      </c>
      <c r="H97" s="418">
        <f t="shared" si="13"/>
        <v>356.4</v>
      </c>
      <c r="I97" s="205"/>
      <c r="J97" s="205"/>
      <c r="K97" s="205">
        <f t="shared" si="11"/>
        <v>356.4</v>
      </c>
      <c r="L97" s="205">
        <f t="shared" si="14"/>
        <v>356.4</v>
      </c>
    </row>
    <row r="98" spans="1:12" s="141" customFormat="1" ht="27" customHeight="1">
      <c r="A98" s="414" t="str">
        <f>+'6.- Presupuesto Obra'!C85</f>
        <v>PUNTO DE AGUA FRIA PVC 1/2" ROSCABLE INC. ACCESORIOS</v>
      </c>
      <c r="B98" s="414" t="str">
        <f>+'6.- Presupuesto Obra'!D85</f>
        <v>PTO</v>
      </c>
      <c r="C98" s="414">
        <f>+'6.- Presupuesto Obra'!E85</f>
        <v>19</v>
      </c>
      <c r="D98" s="414">
        <f>+'6.- Presupuesto Obra'!F85</f>
        <v>31.69</v>
      </c>
      <c r="E98" s="415">
        <f t="shared" si="12"/>
        <v>602.11</v>
      </c>
      <c r="F98" s="416"/>
      <c r="G98" s="417">
        <f t="shared" si="15"/>
        <v>0</v>
      </c>
      <c r="H98" s="418">
        <f t="shared" si="13"/>
        <v>602.11</v>
      </c>
      <c r="I98" s="205"/>
      <c r="J98" s="205"/>
      <c r="K98" s="205">
        <f t="shared" si="11"/>
        <v>602.11</v>
      </c>
      <c r="L98" s="205">
        <f t="shared" si="14"/>
        <v>602.11</v>
      </c>
    </row>
    <row r="99" spans="1:12" s="141" customFormat="1" ht="27" customHeight="1">
      <c r="A99" s="414" t="str">
        <f>+'6.- Presupuesto Obra'!C86</f>
        <v>TUBERIA PVC 1/2" ROSACABLE AGUA CALIENTE INC. ACCESORIOS</v>
      </c>
      <c r="B99" s="414" t="str">
        <f>+'6.- Presupuesto Obra'!D86</f>
        <v>M</v>
      </c>
      <c r="C99" s="414">
        <f>+'6.- Presupuesto Obra'!E86</f>
        <v>73</v>
      </c>
      <c r="D99" s="414">
        <f>+'6.- Presupuesto Obra'!F86</f>
        <v>4.95</v>
      </c>
      <c r="E99" s="415">
        <f t="shared" si="12"/>
        <v>361.35</v>
      </c>
      <c r="F99" s="416"/>
      <c r="G99" s="417">
        <f t="shared" si="15"/>
        <v>0</v>
      </c>
      <c r="H99" s="418">
        <f t="shared" si="13"/>
        <v>361.35</v>
      </c>
      <c r="I99" s="205"/>
      <c r="J99" s="205"/>
      <c r="K99" s="205">
        <f t="shared" si="11"/>
        <v>361.35</v>
      </c>
      <c r="L99" s="205">
        <f t="shared" si="14"/>
        <v>361.35</v>
      </c>
    </row>
    <row r="100" spans="1:12" s="141" customFormat="1" ht="27" customHeight="1">
      <c r="A100" s="414" t="str">
        <f>+'6.- Presupuesto Obra'!C87</f>
        <v>TUBERIA PVC 1/2" ROSACABLE AGUA FRIA INC. ACCESORIOS</v>
      </c>
      <c r="B100" s="414" t="str">
        <f>+'6.- Presupuesto Obra'!D87</f>
        <v>M</v>
      </c>
      <c r="C100" s="414">
        <f>+'6.- Presupuesto Obra'!E87</f>
        <v>73</v>
      </c>
      <c r="D100" s="414">
        <f>+'6.- Presupuesto Obra'!F87</f>
        <v>4.47</v>
      </c>
      <c r="E100" s="415">
        <f t="shared" si="12"/>
        <v>326.31</v>
      </c>
      <c r="F100" s="416"/>
      <c r="G100" s="417">
        <f t="shared" si="15"/>
        <v>0</v>
      </c>
      <c r="H100" s="418">
        <f t="shared" si="13"/>
        <v>326.31</v>
      </c>
      <c r="I100" s="205"/>
      <c r="J100" s="205"/>
      <c r="K100" s="205">
        <f t="shared" si="11"/>
        <v>326.31</v>
      </c>
      <c r="L100" s="205">
        <f t="shared" si="14"/>
        <v>326.31</v>
      </c>
    </row>
    <row r="101" spans="1:12" s="141" customFormat="1" ht="27" customHeight="1">
      <c r="A101" s="414" t="str">
        <f>+'6.- Presupuesto Obra'!C88</f>
        <v>CALEFON A GAS 28 LITROS INSTALADO</v>
      </c>
      <c r="B101" s="414" t="str">
        <f>+'6.- Presupuesto Obra'!D88</f>
        <v>U</v>
      </c>
      <c r="C101" s="414">
        <f>+'6.- Presupuesto Obra'!E88</f>
        <v>2</v>
      </c>
      <c r="D101" s="414">
        <f>+'6.- Presupuesto Obra'!F88</f>
        <v>1139.44</v>
      </c>
      <c r="E101" s="415">
        <f t="shared" si="12"/>
        <v>2278.88</v>
      </c>
      <c r="F101" s="416"/>
      <c r="G101" s="417">
        <f t="shared" si="15"/>
        <v>0</v>
      </c>
      <c r="H101" s="418">
        <f t="shared" si="13"/>
        <v>2278.88</v>
      </c>
      <c r="I101" s="205"/>
      <c r="J101" s="205"/>
      <c r="K101" s="205">
        <f t="shared" si="11"/>
        <v>2278.88</v>
      </c>
      <c r="L101" s="205">
        <f t="shared" si="14"/>
        <v>2278.88</v>
      </c>
    </row>
    <row r="102" spans="1:12" s="141" customFormat="1" ht="27" customHeight="1">
      <c r="A102" s="414" t="str">
        <f>+'6.- Presupuesto Obra'!C89</f>
        <v>LLAVE DE PASO 1/2"</v>
      </c>
      <c r="B102" s="414" t="str">
        <f>+'6.- Presupuesto Obra'!D89</f>
        <v>U</v>
      </c>
      <c r="C102" s="414">
        <f>+'6.- Presupuesto Obra'!E89</f>
        <v>5</v>
      </c>
      <c r="D102" s="414">
        <f>+'6.- Presupuesto Obra'!F89</f>
        <v>15.66</v>
      </c>
      <c r="E102" s="415">
        <f t="shared" si="12"/>
        <v>78.3</v>
      </c>
      <c r="F102" s="416"/>
      <c r="G102" s="417">
        <f t="shared" si="15"/>
        <v>0</v>
      </c>
      <c r="H102" s="418">
        <f t="shared" si="13"/>
        <v>78.3</v>
      </c>
      <c r="I102" s="205"/>
      <c r="J102" s="205"/>
      <c r="K102" s="205">
        <f t="shared" si="11"/>
        <v>78.3</v>
      </c>
      <c r="L102" s="205">
        <f t="shared" si="14"/>
        <v>78.3</v>
      </c>
    </row>
    <row r="103" spans="1:12" s="141" customFormat="1" ht="27" customHeight="1">
      <c r="A103" s="414" t="str">
        <f>+'6.- Presupuesto Obra'!C90</f>
        <v>VALVULA CHECK 1/2" TIPO RW</v>
      </c>
      <c r="B103" s="414" t="str">
        <f>+'6.- Presupuesto Obra'!D90</f>
        <v>U</v>
      </c>
      <c r="C103" s="414">
        <f>+'6.- Presupuesto Obra'!E90</f>
        <v>5</v>
      </c>
      <c r="D103" s="414">
        <f>+'6.- Presupuesto Obra'!F90</f>
        <v>41.1</v>
      </c>
      <c r="E103" s="415">
        <f t="shared" si="12"/>
        <v>205.5</v>
      </c>
      <c r="F103" s="416"/>
      <c r="G103" s="417">
        <f t="shared" si="15"/>
        <v>0</v>
      </c>
      <c r="H103" s="418">
        <f t="shared" si="13"/>
        <v>205.5</v>
      </c>
      <c r="I103" s="205"/>
      <c r="J103" s="205"/>
      <c r="K103" s="205">
        <f t="shared" si="11"/>
        <v>205.5</v>
      </c>
      <c r="L103" s="205">
        <f t="shared" si="14"/>
        <v>205.5</v>
      </c>
    </row>
    <row r="104" spans="1:12" s="141" customFormat="1" ht="27" customHeight="1">
      <c r="A104" s="414" t="str">
        <f>+'6.- Presupuesto Obra'!C91</f>
        <v xml:space="preserve">INSTALACIONES SANITARIAS </v>
      </c>
      <c r="B104" s="414">
        <f>+'6.- Presupuesto Obra'!D91</f>
        <v>0</v>
      </c>
      <c r="C104" s="414">
        <f>+'6.- Presupuesto Obra'!E91</f>
        <v>0</v>
      </c>
      <c r="D104" s="414">
        <f>+'6.- Presupuesto Obra'!F91</f>
        <v>0</v>
      </c>
      <c r="E104" s="415">
        <f t="shared" si="12"/>
        <v>0</v>
      </c>
      <c r="F104" s="416"/>
      <c r="G104" s="417">
        <f t="shared" si="15"/>
        <v>0</v>
      </c>
      <c r="H104" s="418">
        <f t="shared" si="13"/>
        <v>0</v>
      </c>
      <c r="I104" s="205"/>
      <c r="J104" s="205"/>
      <c r="K104" s="205">
        <f t="shared" si="11"/>
        <v>0</v>
      </c>
      <c r="L104" s="205">
        <f t="shared" si="14"/>
        <v>0</v>
      </c>
    </row>
    <row r="105" spans="1:12" s="141" customFormat="1" ht="27" customHeight="1">
      <c r="A105" s="414" t="str">
        <f>+'6.- Presupuesto Obra'!C92</f>
        <v>CANALIZACION TUBERIA PVC 50 MM</v>
      </c>
      <c r="B105" s="414" t="str">
        <f>+'6.- Presupuesto Obra'!D92</f>
        <v>M</v>
      </c>
      <c r="C105" s="414">
        <f>+'6.- Presupuesto Obra'!E92</f>
        <v>25.75</v>
      </c>
      <c r="D105" s="414">
        <f>+'6.- Presupuesto Obra'!F92</f>
        <v>6.85</v>
      </c>
      <c r="E105" s="415">
        <f t="shared" si="12"/>
        <v>176.39</v>
      </c>
      <c r="F105" s="416"/>
      <c r="G105" s="417">
        <f t="shared" si="15"/>
        <v>0</v>
      </c>
      <c r="H105" s="418">
        <f t="shared" si="13"/>
        <v>176.39</v>
      </c>
      <c r="I105" s="205"/>
      <c r="J105" s="205"/>
      <c r="K105" s="205">
        <f t="shared" si="11"/>
        <v>176.39</v>
      </c>
      <c r="L105" s="205">
        <f t="shared" si="14"/>
        <v>176.39</v>
      </c>
    </row>
    <row r="106" spans="1:12" s="141" customFormat="1" ht="27" customHeight="1">
      <c r="A106" s="414" t="str">
        <f>+'6.- Presupuesto Obra'!C93</f>
        <v>CANALIZACION TUBERIA PVC 75MM</v>
      </c>
      <c r="B106" s="414" t="str">
        <f>+'6.- Presupuesto Obra'!D93</f>
        <v>M</v>
      </c>
      <c r="C106" s="414">
        <f>+'6.- Presupuesto Obra'!E93</f>
        <v>30.9</v>
      </c>
      <c r="D106" s="414">
        <f>+'6.- Presupuesto Obra'!F93</f>
        <v>10.95</v>
      </c>
      <c r="E106" s="415">
        <f t="shared" si="12"/>
        <v>338.36</v>
      </c>
      <c r="F106" s="416"/>
      <c r="G106" s="417">
        <f t="shared" si="15"/>
        <v>0</v>
      </c>
      <c r="H106" s="418">
        <f t="shared" si="13"/>
        <v>338.36</v>
      </c>
      <c r="I106" s="205"/>
      <c r="J106" s="205"/>
      <c r="K106" s="205">
        <f t="shared" si="11"/>
        <v>338.36</v>
      </c>
      <c r="L106" s="205">
        <f t="shared" si="14"/>
        <v>338.36</v>
      </c>
    </row>
    <row r="107" spans="1:12" s="141" customFormat="1" ht="27" customHeight="1">
      <c r="A107" s="414" t="str">
        <f>+'6.- Presupuesto Obra'!C94</f>
        <v>CANALIZACION TUBERIA PVC 110MM</v>
      </c>
      <c r="B107" s="414" t="str">
        <f>+'6.- Presupuesto Obra'!D94</f>
        <v>M</v>
      </c>
      <c r="C107" s="414">
        <f>+'6.- Presupuesto Obra'!E94</f>
        <v>25.75</v>
      </c>
      <c r="D107" s="414">
        <f>+'6.- Presupuesto Obra'!F94</f>
        <v>14.19</v>
      </c>
      <c r="E107" s="415">
        <f t="shared" si="12"/>
        <v>365.39</v>
      </c>
      <c r="F107" s="416"/>
      <c r="G107" s="417">
        <f t="shared" si="15"/>
        <v>0</v>
      </c>
      <c r="H107" s="418">
        <f t="shared" si="13"/>
        <v>365.39</v>
      </c>
      <c r="I107" s="205"/>
      <c r="J107" s="205"/>
      <c r="K107" s="205">
        <f t="shared" si="11"/>
        <v>365.39</v>
      </c>
      <c r="L107" s="205">
        <f t="shared" si="14"/>
        <v>365.39</v>
      </c>
    </row>
    <row r="108" spans="1:12" s="141" customFormat="1" ht="27" customHeight="1">
      <c r="A108" s="414" t="str">
        <f>+'6.- Presupuesto Obra'!C95</f>
        <v>PUNTO DE DESAGUE DE PVC 50MM, INC. ACCESORIOS</v>
      </c>
      <c r="B108" s="414" t="str">
        <f>+'6.- Presupuesto Obra'!D95</f>
        <v>PTO</v>
      </c>
      <c r="C108" s="414">
        <f>+'6.- Presupuesto Obra'!E95</f>
        <v>22</v>
      </c>
      <c r="D108" s="414">
        <f>+'6.- Presupuesto Obra'!F95</f>
        <v>49.45</v>
      </c>
      <c r="E108" s="415">
        <f t="shared" si="12"/>
        <v>1087.9000000000001</v>
      </c>
      <c r="F108" s="416"/>
      <c r="G108" s="417">
        <f t="shared" si="15"/>
        <v>0</v>
      </c>
      <c r="H108" s="418">
        <f t="shared" si="13"/>
        <v>1087.9000000000001</v>
      </c>
      <c r="I108" s="205"/>
      <c r="J108" s="205"/>
      <c r="K108" s="205">
        <f t="shared" si="11"/>
        <v>1087.9000000000001</v>
      </c>
      <c r="L108" s="205">
        <f t="shared" si="14"/>
        <v>1087.9000000000001</v>
      </c>
    </row>
    <row r="109" spans="1:12" s="141" customFormat="1" ht="27" customHeight="1">
      <c r="A109" s="414" t="str">
        <f>+'6.- Presupuesto Obra'!C96</f>
        <v>PUNTO DE DESAGUE DE PVC 75MM, INC. ACCESORIOS</v>
      </c>
      <c r="B109" s="414" t="str">
        <f>+'6.- Presupuesto Obra'!D96</f>
        <v>PTO</v>
      </c>
      <c r="C109" s="414">
        <f>+'6.- Presupuesto Obra'!E96</f>
        <v>2</v>
      </c>
      <c r="D109" s="414">
        <f>+'6.- Presupuesto Obra'!F96</f>
        <v>57.06</v>
      </c>
      <c r="E109" s="415">
        <f t="shared" si="12"/>
        <v>114.12</v>
      </c>
      <c r="F109" s="416"/>
      <c r="G109" s="417">
        <f t="shared" si="15"/>
        <v>0</v>
      </c>
      <c r="H109" s="418">
        <f t="shared" si="13"/>
        <v>114.12</v>
      </c>
      <c r="I109" s="205"/>
      <c r="J109" s="205"/>
      <c r="K109" s="205">
        <f t="shared" si="11"/>
        <v>114.12</v>
      </c>
      <c r="L109" s="205">
        <f t="shared" si="14"/>
        <v>114.12</v>
      </c>
    </row>
    <row r="110" spans="1:12" s="141" customFormat="1" ht="27" customHeight="1">
      <c r="A110" s="414" t="str">
        <f>+'6.- Presupuesto Obra'!C97</f>
        <v>PUNTO DE DESAGUE DE PVC 110MM, INC. ACCESORIOS</v>
      </c>
      <c r="B110" s="414" t="str">
        <f>+'6.- Presupuesto Obra'!D97</f>
        <v>PTO</v>
      </c>
      <c r="C110" s="414">
        <f>+'6.- Presupuesto Obra'!E97</f>
        <v>7</v>
      </c>
      <c r="D110" s="414">
        <f>+'6.- Presupuesto Obra'!F97</f>
        <v>70.03</v>
      </c>
      <c r="E110" s="415">
        <f t="shared" si="12"/>
        <v>490.21</v>
      </c>
      <c r="F110" s="416"/>
      <c r="G110" s="417">
        <f t="shared" si="15"/>
        <v>0</v>
      </c>
      <c r="H110" s="418">
        <f t="shared" si="13"/>
        <v>490.21</v>
      </c>
      <c r="I110" s="205"/>
      <c r="J110" s="205"/>
      <c r="K110" s="205">
        <f t="shared" si="11"/>
        <v>490.21</v>
      </c>
      <c r="L110" s="205">
        <f t="shared" si="14"/>
        <v>490.21</v>
      </c>
    </row>
    <row r="111" spans="1:12" s="141" customFormat="1" ht="27" customHeight="1">
      <c r="A111" s="414" t="str">
        <f>+'6.- Presupuesto Obra'!C98</f>
        <v>TUBO VENTILACION 75MM</v>
      </c>
      <c r="B111" s="414" t="str">
        <f>+'6.- Presupuesto Obra'!D98</f>
        <v>M</v>
      </c>
      <c r="C111" s="414">
        <f>+'6.- Presupuesto Obra'!E98</f>
        <v>61.8</v>
      </c>
      <c r="D111" s="414">
        <f>+'6.- Presupuesto Obra'!F98</f>
        <v>20.46</v>
      </c>
      <c r="E111" s="415">
        <f t="shared" si="12"/>
        <v>1264.43</v>
      </c>
      <c r="F111" s="416"/>
      <c r="G111" s="417">
        <f t="shared" si="15"/>
        <v>0</v>
      </c>
      <c r="H111" s="418">
        <f t="shared" si="13"/>
        <v>1264.43</v>
      </c>
      <c r="I111" s="205"/>
      <c r="J111" s="205"/>
      <c r="K111" s="205">
        <f t="shared" si="11"/>
        <v>1264.43</v>
      </c>
      <c r="L111" s="205">
        <f t="shared" si="14"/>
        <v>1264.43</v>
      </c>
    </row>
    <row r="112" spans="1:12" s="141" customFormat="1" ht="27" customHeight="1">
      <c r="A112" s="414" t="str">
        <f>+'6.- Presupuesto Obra'!C99</f>
        <v>BAJANTES DE AGUAS LLUVIAS 110MM. UNION CODO - INSTALACION</v>
      </c>
      <c r="B112" s="414" t="str">
        <f>+'6.- Presupuesto Obra'!D99</f>
        <v>M</v>
      </c>
      <c r="C112" s="414">
        <f>+'6.- Presupuesto Obra'!E99</f>
        <v>15.45</v>
      </c>
      <c r="D112" s="414">
        <f>+'6.- Presupuesto Obra'!F99</f>
        <v>14.74</v>
      </c>
      <c r="E112" s="415">
        <f t="shared" si="12"/>
        <v>227.73</v>
      </c>
      <c r="F112" s="416"/>
      <c r="G112" s="417">
        <f t="shared" si="15"/>
        <v>0</v>
      </c>
      <c r="H112" s="418">
        <f t="shared" si="13"/>
        <v>227.73</v>
      </c>
      <c r="I112" s="205"/>
      <c r="J112" s="205"/>
      <c r="K112" s="205">
        <f t="shared" si="11"/>
        <v>227.73</v>
      </c>
      <c r="L112" s="205">
        <f t="shared" si="14"/>
        <v>227.73</v>
      </c>
    </row>
    <row r="113" spans="1:12" s="141" customFormat="1" ht="27" customHeight="1">
      <c r="A113" s="414" t="str">
        <f>+'6.- Presupuesto Obra'!C100</f>
        <v>CANAL RECOLECTO DE AGUAS LLUVIAS 110MM</v>
      </c>
      <c r="B113" s="414" t="str">
        <f>+'6.- Presupuesto Obra'!D100</f>
        <v>M</v>
      </c>
      <c r="C113" s="414">
        <f>+'6.- Presupuesto Obra'!E100</f>
        <v>29.9</v>
      </c>
      <c r="D113" s="414">
        <f>+'6.- Presupuesto Obra'!F100</f>
        <v>8.02</v>
      </c>
      <c r="E113" s="415">
        <f t="shared" si="12"/>
        <v>239.8</v>
      </c>
      <c r="F113" s="416"/>
      <c r="G113" s="417">
        <f t="shared" si="15"/>
        <v>0</v>
      </c>
      <c r="H113" s="418">
        <f t="shared" si="13"/>
        <v>239.8</v>
      </c>
      <c r="I113" s="205"/>
      <c r="J113" s="205"/>
      <c r="K113" s="205">
        <f t="shared" si="11"/>
        <v>239.8</v>
      </c>
      <c r="L113" s="205">
        <f t="shared" si="14"/>
        <v>239.8</v>
      </c>
    </row>
    <row r="114" spans="1:12" s="141" customFormat="1" ht="27" customHeight="1">
      <c r="A114" s="414" t="str">
        <f>+'6.- Presupuesto Obra'!C101</f>
        <v>REJILLA DE PISO 50 MM - CROMADA</v>
      </c>
      <c r="B114" s="414" t="str">
        <f>+'6.- Presupuesto Obra'!D101</f>
        <v>U</v>
      </c>
      <c r="C114" s="414">
        <f>+'6.- Presupuesto Obra'!E101</f>
        <v>13</v>
      </c>
      <c r="D114" s="414">
        <f>+'6.- Presupuesto Obra'!F101</f>
        <v>8.91</v>
      </c>
      <c r="E114" s="415">
        <f t="shared" si="12"/>
        <v>115.83</v>
      </c>
      <c r="F114" s="416"/>
      <c r="G114" s="417">
        <f t="shared" si="15"/>
        <v>0</v>
      </c>
      <c r="H114" s="418">
        <f t="shared" si="13"/>
        <v>115.83</v>
      </c>
      <c r="I114" s="205"/>
      <c r="J114" s="205"/>
      <c r="K114" s="205">
        <f t="shared" si="11"/>
        <v>115.83</v>
      </c>
      <c r="L114" s="205">
        <f t="shared" si="14"/>
        <v>115.83</v>
      </c>
    </row>
    <row r="115" spans="1:12" s="141" customFormat="1" ht="27" customHeight="1">
      <c r="A115" s="414" t="str">
        <f>+'6.- Presupuesto Obra'!C102</f>
        <v>REJILLA DE PISO 75 MM - ALUMINIO</v>
      </c>
      <c r="B115" s="414" t="str">
        <f>+'6.- Presupuesto Obra'!D102</f>
        <v>U</v>
      </c>
      <c r="C115" s="414">
        <f>+'6.- Presupuesto Obra'!E102</f>
        <v>2</v>
      </c>
      <c r="D115" s="414">
        <f>+'6.- Presupuesto Obra'!F102</f>
        <v>10.42</v>
      </c>
      <c r="E115" s="415">
        <f t="shared" si="12"/>
        <v>20.84</v>
      </c>
      <c r="F115" s="416"/>
      <c r="G115" s="417">
        <f t="shared" si="15"/>
        <v>0</v>
      </c>
      <c r="H115" s="418">
        <f t="shared" si="13"/>
        <v>20.84</v>
      </c>
      <c r="I115" s="205"/>
      <c r="J115" s="205"/>
      <c r="K115" s="205">
        <f t="shared" si="11"/>
        <v>20.84</v>
      </c>
      <c r="L115" s="205">
        <f t="shared" si="14"/>
        <v>20.84</v>
      </c>
    </row>
    <row r="116" spans="1:12" s="141" customFormat="1" ht="27" customHeight="1">
      <c r="A116" s="414" t="str">
        <f>+'6.- Presupuesto Obra'!C103</f>
        <v xml:space="preserve">GRIFERIA Y APARATOS SANITARIOS </v>
      </c>
      <c r="B116" s="414">
        <f>+'6.- Presupuesto Obra'!D103</f>
        <v>0</v>
      </c>
      <c r="C116" s="414">
        <f>+'6.- Presupuesto Obra'!E103</f>
        <v>0</v>
      </c>
      <c r="D116" s="414">
        <f>+'6.- Presupuesto Obra'!F103</f>
        <v>0</v>
      </c>
      <c r="E116" s="415">
        <f t="shared" si="12"/>
        <v>0</v>
      </c>
      <c r="F116" s="416"/>
      <c r="G116" s="417"/>
      <c r="H116" s="418">
        <f t="shared" si="13"/>
        <v>0</v>
      </c>
      <c r="I116" s="205"/>
      <c r="J116" s="205"/>
      <c r="K116" s="205">
        <f t="shared" si="11"/>
        <v>0</v>
      </c>
      <c r="L116" s="205">
        <f t="shared" si="14"/>
        <v>0</v>
      </c>
    </row>
    <row r="117" spans="1:12" s="141" customFormat="1" ht="27" customHeight="1">
      <c r="A117" s="414" t="str">
        <f>+'6.- Presupuesto Obra'!C104</f>
        <v>DUCHA CON MEZCLADORA (INSTALACION)</v>
      </c>
      <c r="B117" s="414" t="str">
        <f>+'6.- Presupuesto Obra'!D104</f>
        <v>U</v>
      </c>
      <c r="C117" s="414">
        <f>+'6.- Presupuesto Obra'!E104</f>
        <v>4</v>
      </c>
      <c r="D117" s="414">
        <f>+'6.- Presupuesto Obra'!F104</f>
        <v>463.51</v>
      </c>
      <c r="E117" s="415">
        <f t="shared" si="12"/>
        <v>1854.04</v>
      </c>
      <c r="F117" s="416"/>
      <c r="G117" s="417"/>
      <c r="H117" s="418">
        <f t="shared" si="13"/>
        <v>1854.04</v>
      </c>
      <c r="I117" s="205"/>
      <c r="J117" s="205"/>
      <c r="K117" s="205">
        <f t="shared" si="11"/>
        <v>1854.04</v>
      </c>
      <c r="L117" s="205">
        <f t="shared" si="14"/>
        <v>1854.04</v>
      </c>
    </row>
    <row r="118" spans="1:12" s="141" customFormat="1" ht="27" customHeight="1">
      <c r="A118" s="414" t="str">
        <f>+'6.- Presupuesto Obra'!C105</f>
        <v>INODORO NEGRO - INSTALACION</v>
      </c>
      <c r="B118" s="414" t="str">
        <f>+'6.- Presupuesto Obra'!D105</f>
        <v>U</v>
      </c>
      <c r="C118" s="414">
        <f>+'6.- Presupuesto Obra'!E105</f>
        <v>6</v>
      </c>
      <c r="D118" s="414">
        <f>+'6.- Presupuesto Obra'!F105</f>
        <v>507.93</v>
      </c>
      <c r="E118" s="415">
        <f t="shared" si="12"/>
        <v>3047.58</v>
      </c>
      <c r="F118" s="416"/>
      <c r="G118" s="417"/>
      <c r="H118" s="418">
        <f t="shared" si="13"/>
        <v>3047.58</v>
      </c>
      <c r="I118" s="205"/>
      <c r="J118" s="205"/>
      <c r="K118" s="205">
        <f t="shared" si="11"/>
        <v>3047.58</v>
      </c>
      <c r="L118" s="205">
        <f t="shared" si="14"/>
        <v>3047.58</v>
      </c>
    </row>
    <row r="119" spans="1:12" s="141" customFormat="1" ht="27" customHeight="1">
      <c r="A119" s="414" t="str">
        <f>+'6.- Presupuesto Obra'!C106</f>
        <v>JUEGO DE ACCESORIOS DE BAÑO - INSTALACION</v>
      </c>
      <c r="B119" s="414" t="str">
        <f>+'6.- Presupuesto Obra'!D106</f>
        <v>U</v>
      </c>
      <c r="C119" s="414">
        <f>+'6.- Presupuesto Obra'!E106</f>
        <v>6</v>
      </c>
      <c r="D119" s="414">
        <f>+'6.- Presupuesto Obra'!F106</f>
        <v>26.77</v>
      </c>
      <c r="E119" s="415">
        <f t="shared" si="12"/>
        <v>160.62</v>
      </c>
      <c r="F119" s="416"/>
      <c r="G119" s="417"/>
      <c r="H119" s="418">
        <f t="shared" si="13"/>
        <v>160.62</v>
      </c>
      <c r="I119" s="205"/>
      <c r="J119" s="205"/>
      <c r="K119" s="205">
        <f t="shared" si="11"/>
        <v>160.62</v>
      </c>
      <c r="L119" s="205">
        <f t="shared" si="14"/>
        <v>160.62</v>
      </c>
    </row>
    <row r="120" spans="1:12" s="141" customFormat="1" ht="27" customHeight="1">
      <c r="A120" s="414" t="str">
        <f>+'6.- Presupuesto Obra'!C107</f>
        <v>LAVAMANOS DE BRONCE SEGÚN DISEÑO - INSTALACION</v>
      </c>
      <c r="B120" s="414" t="str">
        <f>+'6.- Presupuesto Obra'!D107</f>
        <v>U</v>
      </c>
      <c r="C120" s="414">
        <f>+'6.- Presupuesto Obra'!E107</f>
        <v>6</v>
      </c>
      <c r="D120" s="414">
        <f>+'6.- Presupuesto Obra'!F107</f>
        <v>233.57</v>
      </c>
      <c r="E120" s="415">
        <f t="shared" si="12"/>
        <v>1401.42</v>
      </c>
      <c r="F120" s="416"/>
      <c r="G120" s="417"/>
      <c r="H120" s="418">
        <f t="shared" si="13"/>
        <v>1401.42</v>
      </c>
      <c r="I120" s="205"/>
      <c r="J120" s="205"/>
      <c r="K120" s="205">
        <f t="shared" si="11"/>
        <v>1401.42</v>
      </c>
      <c r="L120" s="205">
        <f t="shared" si="14"/>
        <v>1401.42</v>
      </c>
    </row>
    <row r="121" spans="1:12" s="141" customFormat="1" ht="27" customHeight="1">
      <c r="A121" s="414" t="str">
        <f>+'6.- Presupuesto Obra'!C108</f>
        <v>JUEGO DE GRIFERIA PARA LAVAMANOS - INSTALACION</v>
      </c>
      <c r="B121" s="414" t="str">
        <f>+'6.- Presupuesto Obra'!D108</f>
        <v>U</v>
      </c>
      <c r="C121" s="414">
        <f>+'6.- Presupuesto Obra'!E108</f>
        <v>6</v>
      </c>
      <c r="D121" s="414">
        <f>+'6.- Presupuesto Obra'!F108</f>
        <v>191.14</v>
      </c>
      <c r="E121" s="415">
        <f t="shared" si="12"/>
        <v>1146.8399999999999</v>
      </c>
      <c r="F121" s="416"/>
      <c r="G121" s="417"/>
      <c r="H121" s="418">
        <f t="shared" si="13"/>
        <v>1146.8399999999999</v>
      </c>
      <c r="I121" s="205"/>
      <c r="J121" s="205"/>
      <c r="K121" s="205">
        <f t="shared" si="11"/>
        <v>1146.8399999999999</v>
      </c>
      <c r="L121" s="205">
        <f t="shared" si="14"/>
        <v>1146.8399999999999</v>
      </c>
    </row>
    <row r="122" spans="1:12" s="141" customFormat="1" ht="27" customHeight="1">
      <c r="A122" s="414" t="str">
        <f>+'6.- Presupuesto Obra'!C109</f>
        <v>MEZCLADORA PARA LAVAMANOS - INSTALACION</v>
      </c>
      <c r="B122" s="414" t="str">
        <f>+'6.- Presupuesto Obra'!D109</f>
        <v>U</v>
      </c>
      <c r="C122" s="414">
        <f>+'6.- Presupuesto Obra'!E109</f>
        <v>6</v>
      </c>
      <c r="D122" s="414">
        <f>+'6.- Presupuesto Obra'!F109</f>
        <v>90.71</v>
      </c>
      <c r="E122" s="415">
        <f t="shared" si="12"/>
        <v>544.26</v>
      </c>
      <c r="F122" s="416"/>
      <c r="G122" s="417"/>
      <c r="H122" s="418">
        <f t="shared" si="13"/>
        <v>544.26</v>
      </c>
      <c r="I122" s="205"/>
      <c r="J122" s="205"/>
      <c r="K122" s="205">
        <f t="shared" si="11"/>
        <v>544.26</v>
      </c>
      <c r="L122" s="205">
        <f t="shared" si="14"/>
        <v>544.26</v>
      </c>
    </row>
    <row r="123" spans="1:12" s="141" customFormat="1" ht="27" customHeight="1">
      <c r="A123" s="414" t="str">
        <f>+'6.- Presupuesto Obra'!C110</f>
        <v>LAVAPLATOS 2 POZOS, GRIFERIA - INSTALACION</v>
      </c>
      <c r="B123" s="414" t="str">
        <f>+'6.- Presupuesto Obra'!D110</f>
        <v>U</v>
      </c>
      <c r="C123" s="414">
        <f>+'6.- Presupuesto Obra'!E110</f>
        <v>1</v>
      </c>
      <c r="D123" s="414">
        <f>+'6.- Presupuesto Obra'!F110</f>
        <v>996.64</v>
      </c>
      <c r="E123" s="415">
        <f t="shared" si="12"/>
        <v>996.64</v>
      </c>
      <c r="F123" s="416"/>
      <c r="G123" s="417"/>
      <c r="H123" s="418">
        <f t="shared" si="13"/>
        <v>996.64</v>
      </c>
      <c r="I123" s="205"/>
      <c r="J123" s="205"/>
      <c r="K123" s="205">
        <f t="shared" si="11"/>
        <v>996.64</v>
      </c>
      <c r="L123" s="205">
        <f t="shared" si="14"/>
        <v>996.64</v>
      </c>
    </row>
    <row r="124" spans="1:12" s="141" customFormat="1" ht="27" customHeight="1">
      <c r="A124" s="414" t="str">
        <f>+'6.- Presupuesto Obra'!C111</f>
        <v>MEZCLADORA PARA FREGADERO  - INSTALACION</v>
      </c>
      <c r="B124" s="414" t="str">
        <f>+'6.- Presupuesto Obra'!D111</f>
        <v>U</v>
      </c>
      <c r="C124" s="414">
        <f>+'6.- Presupuesto Obra'!E111</f>
        <v>1</v>
      </c>
      <c r="D124" s="414">
        <f>+'6.- Presupuesto Obra'!F111</f>
        <v>114.71</v>
      </c>
      <c r="E124" s="415">
        <f t="shared" si="12"/>
        <v>114.71</v>
      </c>
      <c r="F124" s="416"/>
      <c r="G124" s="417"/>
      <c r="H124" s="418">
        <f t="shared" si="13"/>
        <v>114.71</v>
      </c>
      <c r="I124" s="205"/>
      <c r="J124" s="205"/>
      <c r="K124" s="205">
        <f t="shared" si="11"/>
        <v>114.71</v>
      </c>
      <c r="L124" s="205">
        <f t="shared" si="14"/>
        <v>114.71</v>
      </c>
    </row>
    <row r="125" spans="1:12" s="141" customFormat="1" ht="27" customHeight="1">
      <c r="A125" s="414" t="str">
        <f>+'6.- Presupuesto Obra'!C112</f>
        <v>ACCESORIOS PARA BAÑO</v>
      </c>
      <c r="B125" s="414" t="str">
        <f>+'6.- Presupuesto Obra'!D112</f>
        <v>U</v>
      </c>
      <c r="C125" s="414">
        <f>+'6.- Presupuesto Obra'!E112</f>
        <v>6</v>
      </c>
      <c r="D125" s="414">
        <f>+'6.- Presupuesto Obra'!F112</f>
        <v>477.25</v>
      </c>
      <c r="E125" s="415">
        <f t="shared" si="12"/>
        <v>2863.5</v>
      </c>
      <c r="F125" s="416"/>
      <c r="G125" s="417"/>
      <c r="H125" s="418">
        <f t="shared" si="13"/>
        <v>2863.5</v>
      </c>
      <c r="I125" s="205"/>
      <c r="J125" s="205"/>
      <c r="K125" s="205">
        <f t="shared" si="11"/>
        <v>2863.5</v>
      </c>
      <c r="L125" s="205">
        <f t="shared" si="14"/>
        <v>2863.5</v>
      </c>
    </row>
    <row r="126" spans="1:12" s="141" customFormat="1" ht="27" customHeight="1">
      <c r="A126" s="414" t="str">
        <f>+'6.- Presupuesto Obra'!C113</f>
        <v xml:space="preserve">INSTALACIONES ELECTRICAS </v>
      </c>
      <c r="B126" s="414">
        <f>+'6.- Presupuesto Obra'!D113</f>
        <v>0</v>
      </c>
      <c r="C126" s="414">
        <f>+'6.- Presupuesto Obra'!E113</f>
        <v>0</v>
      </c>
      <c r="D126" s="414">
        <f>+'6.- Presupuesto Obra'!F113</f>
        <v>0</v>
      </c>
      <c r="E126" s="415">
        <f t="shared" si="12"/>
        <v>0</v>
      </c>
      <c r="F126" s="416"/>
      <c r="G126" s="417"/>
      <c r="H126" s="418">
        <f t="shared" si="13"/>
        <v>0</v>
      </c>
      <c r="I126" s="205"/>
      <c r="J126" s="205"/>
      <c r="K126" s="205">
        <f t="shared" si="11"/>
        <v>0</v>
      </c>
      <c r="L126" s="205">
        <f t="shared" si="14"/>
        <v>0</v>
      </c>
    </row>
    <row r="127" spans="1:12" s="141" customFormat="1" ht="27" customHeight="1">
      <c r="A127" s="414" t="str">
        <f>+'6.- Presupuesto Obra'!C114</f>
        <v>SALIDA DE ILUMINACION CONMUTADA</v>
      </c>
      <c r="B127" s="414" t="str">
        <f>+'6.- Presupuesto Obra'!D114</f>
        <v>PTO</v>
      </c>
      <c r="C127" s="414">
        <f>+'6.- Presupuesto Obra'!E114</f>
        <v>10</v>
      </c>
      <c r="D127" s="414">
        <f>+'6.- Presupuesto Obra'!F114</f>
        <v>35.29</v>
      </c>
      <c r="E127" s="415">
        <f t="shared" si="12"/>
        <v>352.9</v>
      </c>
      <c r="F127" s="416"/>
      <c r="G127" s="417"/>
      <c r="H127" s="418">
        <f t="shared" si="13"/>
        <v>352.9</v>
      </c>
      <c r="I127" s="205"/>
      <c r="J127" s="205"/>
      <c r="K127" s="205">
        <f t="shared" si="11"/>
        <v>352.9</v>
      </c>
      <c r="L127" s="205">
        <f t="shared" si="14"/>
        <v>352.9</v>
      </c>
    </row>
    <row r="128" spans="1:12" s="141" customFormat="1" ht="27" customHeight="1">
      <c r="A128" s="414" t="str">
        <f>+'6.- Presupuesto Obra'!C115</f>
        <v>SALIDA DE ILUMINACION, SIN APLIQUE</v>
      </c>
      <c r="B128" s="414" t="str">
        <f>+'6.- Presupuesto Obra'!D115</f>
        <v>PTO</v>
      </c>
      <c r="C128" s="414">
        <f>+'6.- Presupuesto Obra'!E115</f>
        <v>69</v>
      </c>
      <c r="D128" s="414">
        <f>+'6.- Presupuesto Obra'!F115</f>
        <v>25.45</v>
      </c>
      <c r="E128" s="415">
        <f t="shared" si="12"/>
        <v>1756.05</v>
      </c>
      <c r="F128" s="416"/>
      <c r="G128" s="417"/>
      <c r="H128" s="418">
        <f t="shared" si="13"/>
        <v>1756.05</v>
      </c>
      <c r="I128" s="205"/>
      <c r="J128" s="205"/>
      <c r="K128" s="205">
        <f t="shared" si="11"/>
        <v>1756.05</v>
      </c>
      <c r="L128" s="205">
        <f t="shared" si="14"/>
        <v>1756.05</v>
      </c>
    </row>
    <row r="129" spans="1:12" s="141" customFormat="1" ht="27" customHeight="1">
      <c r="A129" s="414" t="str">
        <f>+'6.- Presupuesto Obra'!C116</f>
        <v>SALIDA DE TOMACORRIENTE DOCLE 110V</v>
      </c>
      <c r="B129" s="414" t="str">
        <f>+'6.- Presupuesto Obra'!D116</f>
        <v>PTO</v>
      </c>
      <c r="C129" s="414">
        <f>+'6.- Presupuesto Obra'!E116</f>
        <v>41</v>
      </c>
      <c r="D129" s="414">
        <f>+'6.- Presupuesto Obra'!F116</f>
        <v>27.21</v>
      </c>
      <c r="E129" s="415">
        <f t="shared" si="12"/>
        <v>1115.6099999999999</v>
      </c>
      <c r="F129" s="416"/>
      <c r="G129" s="417"/>
      <c r="H129" s="418">
        <f t="shared" si="13"/>
        <v>1115.6099999999999</v>
      </c>
      <c r="I129" s="205"/>
      <c r="J129" s="205"/>
      <c r="K129" s="205">
        <f t="shared" si="11"/>
        <v>1115.6099999999999</v>
      </c>
      <c r="L129" s="205">
        <f t="shared" si="14"/>
        <v>1115.6099999999999</v>
      </c>
    </row>
    <row r="130" spans="1:12" s="141" customFormat="1" ht="27" customHeight="1">
      <c r="A130" s="414" t="str">
        <f>+'6.- Presupuesto Obra'!C117</f>
        <v>SALIDA INTERRUPTOR CONMUTADO - APLIQUE</v>
      </c>
      <c r="B130" s="414" t="str">
        <f>+'6.- Presupuesto Obra'!D117</f>
        <v>PTO</v>
      </c>
      <c r="C130" s="414">
        <f>+'6.- Presupuesto Obra'!E117</f>
        <v>5</v>
      </c>
      <c r="D130" s="414">
        <f>+'6.- Presupuesto Obra'!F117</f>
        <v>8.18</v>
      </c>
      <c r="E130" s="415">
        <f t="shared" si="12"/>
        <v>40.9</v>
      </c>
      <c r="F130" s="416"/>
      <c r="G130" s="417"/>
      <c r="H130" s="418">
        <f t="shared" si="13"/>
        <v>40.9</v>
      </c>
      <c r="I130" s="205"/>
      <c r="J130" s="205"/>
      <c r="K130" s="205">
        <f t="shared" si="11"/>
        <v>40.9</v>
      </c>
      <c r="L130" s="205">
        <f t="shared" si="14"/>
        <v>40.9</v>
      </c>
    </row>
    <row r="131" spans="1:12" s="141" customFormat="1" ht="27" customHeight="1">
      <c r="A131" s="414" t="str">
        <f>+'6.- Presupuesto Obra'!C118</f>
        <v>SALIDA INTERRUPTOR DOBLE - APLIQUE</v>
      </c>
      <c r="B131" s="414" t="str">
        <f>+'6.- Presupuesto Obra'!D118</f>
        <v>PTO</v>
      </c>
      <c r="C131" s="414">
        <f>+'6.- Presupuesto Obra'!E118</f>
        <v>7</v>
      </c>
      <c r="D131" s="414">
        <f>+'6.- Presupuesto Obra'!F118</f>
        <v>8</v>
      </c>
      <c r="E131" s="415">
        <f t="shared" si="12"/>
        <v>56</v>
      </c>
      <c r="F131" s="416"/>
      <c r="G131" s="417"/>
      <c r="H131" s="418">
        <f t="shared" si="13"/>
        <v>56</v>
      </c>
      <c r="I131" s="205"/>
      <c r="J131" s="205"/>
      <c r="K131" s="205">
        <f t="shared" si="11"/>
        <v>56</v>
      </c>
      <c r="L131" s="205">
        <f t="shared" si="14"/>
        <v>56</v>
      </c>
    </row>
    <row r="132" spans="1:12" s="141" customFormat="1" ht="27" customHeight="1">
      <c r="A132" s="414" t="str">
        <f>+'6.- Presupuesto Obra'!C119</f>
        <v>SALIDA INTERRUPTOR SIMPLE - APLIQUE</v>
      </c>
      <c r="B132" s="414" t="str">
        <f>+'6.- Presupuesto Obra'!D119</f>
        <v>PTO</v>
      </c>
      <c r="C132" s="414">
        <f>+'6.- Presupuesto Obra'!E119</f>
        <v>22</v>
      </c>
      <c r="D132" s="414">
        <f>+'6.- Presupuesto Obra'!F119</f>
        <v>6.23</v>
      </c>
      <c r="E132" s="415">
        <f t="shared" si="12"/>
        <v>137.06</v>
      </c>
      <c r="F132" s="416">
        <v>0.15</v>
      </c>
      <c r="G132" s="417"/>
      <c r="H132" s="418">
        <f t="shared" si="13"/>
        <v>137.06</v>
      </c>
      <c r="I132" s="205"/>
      <c r="J132" s="205"/>
      <c r="K132" s="205">
        <f t="shared" si="11"/>
        <v>137.06</v>
      </c>
      <c r="L132" s="205">
        <f t="shared" si="14"/>
        <v>137.06</v>
      </c>
    </row>
    <row r="133" spans="1:12" s="141" customFormat="1" ht="27" customHeight="1">
      <c r="A133" s="414" t="str">
        <f>+'6.- Presupuesto Obra'!C120</f>
        <v>SALIDA ESPECIALES CONDUCTOR 10 AWG - LAVADORAS</v>
      </c>
      <c r="B133" s="414" t="str">
        <f>+'6.- Presupuesto Obra'!D120</f>
        <v>PTO</v>
      </c>
      <c r="C133" s="414">
        <f>+'6.- Presupuesto Obra'!E120</f>
        <v>1</v>
      </c>
      <c r="D133" s="414">
        <f>+'6.- Presupuesto Obra'!F120</f>
        <v>43.37</v>
      </c>
      <c r="E133" s="415">
        <f t="shared" si="12"/>
        <v>43.37</v>
      </c>
      <c r="F133" s="416"/>
      <c r="G133" s="417"/>
      <c r="H133" s="418">
        <f t="shared" si="13"/>
        <v>43.37</v>
      </c>
      <c r="I133" s="205"/>
      <c r="J133" s="205"/>
      <c r="K133" s="205">
        <f t="shared" si="11"/>
        <v>43.37</v>
      </c>
      <c r="L133" s="205">
        <f t="shared" si="14"/>
        <v>43.37</v>
      </c>
    </row>
    <row r="134" spans="1:12" s="141" customFormat="1" ht="27" customHeight="1">
      <c r="A134" s="414" t="str">
        <f>+'6.- Presupuesto Obra'!C121</f>
        <v>BREAKER 2 POLOS 32 AMP</v>
      </c>
      <c r="B134" s="414" t="str">
        <f>+'6.- Presupuesto Obra'!D121</f>
        <v>U</v>
      </c>
      <c r="C134" s="414">
        <f>+'6.- Presupuesto Obra'!E121</f>
        <v>10</v>
      </c>
      <c r="D134" s="414">
        <f>+'6.- Presupuesto Obra'!F121</f>
        <v>27.44</v>
      </c>
      <c r="E134" s="415">
        <f t="shared" si="12"/>
        <v>274.39999999999998</v>
      </c>
      <c r="F134" s="416"/>
      <c r="G134" s="417"/>
      <c r="H134" s="418">
        <f t="shared" si="13"/>
        <v>274.39999999999998</v>
      </c>
      <c r="I134" s="205"/>
      <c r="J134" s="205"/>
      <c r="K134" s="205">
        <f t="shared" si="11"/>
        <v>274.39999999999998</v>
      </c>
      <c r="L134" s="205">
        <f t="shared" si="14"/>
        <v>274.39999999999998</v>
      </c>
    </row>
    <row r="135" spans="1:12" s="141" customFormat="1" ht="27" customHeight="1">
      <c r="A135" s="414" t="str">
        <f>+'6.- Presupuesto Obra'!C122</f>
        <v>CAJA DE DISTRIBUCION - CENTRO DE CARGA 6 PUNTOS</v>
      </c>
      <c r="B135" s="414" t="str">
        <f>+'6.- Presupuesto Obra'!D122</f>
        <v>U</v>
      </c>
      <c r="C135" s="414">
        <f>+'6.- Presupuesto Obra'!E122</f>
        <v>3</v>
      </c>
      <c r="D135" s="414">
        <f>+'6.- Presupuesto Obra'!F122</f>
        <v>51.76</v>
      </c>
      <c r="E135" s="415">
        <f t="shared" si="12"/>
        <v>155.28</v>
      </c>
      <c r="F135" s="416"/>
      <c r="G135" s="417"/>
      <c r="H135" s="418">
        <f t="shared" si="13"/>
        <v>155.28</v>
      </c>
      <c r="I135" s="205"/>
      <c r="J135" s="205"/>
      <c r="K135" s="205">
        <f t="shared" si="11"/>
        <v>155.28</v>
      </c>
      <c r="L135" s="205">
        <f t="shared" si="14"/>
        <v>155.28</v>
      </c>
    </row>
    <row r="136" spans="1:12" s="141" customFormat="1" ht="27" customHeight="1">
      <c r="A136" s="414" t="str">
        <f>+'6.- Presupuesto Obra'!C123</f>
        <v>SUMINISTRO Y COLOCACION DE PERFIL LUMINICO</v>
      </c>
      <c r="B136" s="414" t="str">
        <f>+'6.- Presupuesto Obra'!D123</f>
        <v>M</v>
      </c>
      <c r="C136" s="414">
        <f>+'6.- Presupuesto Obra'!E123</f>
        <v>64.94</v>
      </c>
      <c r="D136" s="414">
        <f>+'6.- Presupuesto Obra'!F123</f>
        <v>15.12</v>
      </c>
      <c r="E136" s="415">
        <f t="shared" si="12"/>
        <v>981.89</v>
      </c>
      <c r="F136" s="416"/>
      <c r="G136" s="417"/>
      <c r="H136" s="418">
        <f t="shared" si="13"/>
        <v>981.89</v>
      </c>
      <c r="I136" s="205"/>
      <c r="J136" s="205"/>
      <c r="K136" s="205">
        <f t="shared" si="11"/>
        <v>981.89</v>
      </c>
      <c r="L136" s="205">
        <f t="shared" si="14"/>
        <v>981.89</v>
      </c>
    </row>
    <row r="137" spans="1:12" s="141" customFormat="1" ht="27" customHeight="1">
      <c r="A137" s="414" t="str">
        <f>+'6.- Presupuesto Obra'!C124</f>
        <v>LAMPARA COLGANTE CONO DE MADERA NATURAL</v>
      </c>
      <c r="B137" s="414" t="str">
        <f>+'6.- Presupuesto Obra'!D124</f>
        <v>U</v>
      </c>
      <c r="C137" s="414">
        <f>+'6.- Presupuesto Obra'!E124</f>
        <v>11</v>
      </c>
      <c r="D137" s="414">
        <f>+'6.- Presupuesto Obra'!F124</f>
        <v>54</v>
      </c>
      <c r="E137" s="415">
        <f t="shared" si="12"/>
        <v>594</v>
      </c>
      <c r="F137" s="416"/>
      <c r="G137" s="417"/>
      <c r="H137" s="418">
        <f t="shared" si="13"/>
        <v>594</v>
      </c>
      <c r="I137" s="205"/>
      <c r="J137" s="205"/>
      <c r="K137" s="205">
        <f t="shared" si="11"/>
        <v>594</v>
      </c>
      <c r="L137" s="205">
        <f t="shared" si="14"/>
        <v>594</v>
      </c>
    </row>
    <row r="138" spans="1:12" s="141" customFormat="1" ht="27" customHeight="1">
      <c r="A138" s="414" t="str">
        <f>+'6.- Presupuesto Obra'!C125</f>
        <v>LAMPARA COLGANTE WOODY</v>
      </c>
      <c r="B138" s="414" t="str">
        <f>+'6.- Presupuesto Obra'!D125</f>
        <v>U</v>
      </c>
      <c r="C138" s="414">
        <f>+'6.- Presupuesto Obra'!E125</f>
        <v>11</v>
      </c>
      <c r="D138" s="414">
        <f>+'6.- Presupuesto Obra'!F125</f>
        <v>84</v>
      </c>
      <c r="E138" s="415">
        <f t="shared" si="12"/>
        <v>924</v>
      </c>
      <c r="F138" s="416"/>
      <c r="G138" s="417"/>
      <c r="H138" s="418">
        <f t="shared" si="13"/>
        <v>924</v>
      </c>
      <c r="I138" s="205"/>
      <c r="J138" s="205"/>
      <c r="K138" s="205">
        <f t="shared" si="11"/>
        <v>924</v>
      </c>
      <c r="L138" s="205">
        <f t="shared" si="14"/>
        <v>924</v>
      </c>
    </row>
    <row r="139" spans="1:12" s="141" customFormat="1" ht="27" customHeight="1">
      <c r="A139" s="414" t="str">
        <f>+'6.- Presupuesto Obra'!C126</f>
        <v>PANEL LED REDONDO 24W DE ESTRUCTURA METALICA BLANCA PARA SOBREPONER</v>
      </c>
      <c r="B139" s="414" t="str">
        <f>+'6.- Presupuesto Obra'!D126</f>
        <v>U</v>
      </c>
      <c r="C139" s="414">
        <f>+'6.- Presupuesto Obra'!E126</f>
        <v>57</v>
      </c>
      <c r="D139" s="414">
        <f>+'6.- Presupuesto Obra'!F126</f>
        <v>18</v>
      </c>
      <c r="E139" s="415">
        <f t="shared" si="12"/>
        <v>1026</v>
      </c>
      <c r="F139" s="416"/>
      <c r="G139" s="417"/>
      <c r="H139" s="418">
        <f t="shared" si="13"/>
        <v>1026</v>
      </c>
      <c r="I139" s="205"/>
      <c r="J139" s="205"/>
      <c r="K139" s="205">
        <f t="shared" si="11"/>
        <v>1026</v>
      </c>
      <c r="L139" s="205">
        <f t="shared" si="14"/>
        <v>1026</v>
      </c>
    </row>
    <row r="140" spans="1:12" s="141" customFormat="1" ht="27" customHeight="1">
      <c r="A140" s="414" t="str">
        <f>+'6.- Presupuesto Obra'!C127</f>
        <v>LIMPIEZA FINAL DE LA OBRA</v>
      </c>
      <c r="B140" s="414">
        <f>+'6.- Presupuesto Obra'!D127</f>
        <v>0</v>
      </c>
      <c r="C140" s="414">
        <f>+'6.- Presupuesto Obra'!E127</f>
        <v>0</v>
      </c>
      <c r="D140" s="414">
        <f>+'6.- Presupuesto Obra'!F127</f>
        <v>0</v>
      </c>
      <c r="E140" s="415">
        <f t="shared" si="12"/>
        <v>0</v>
      </c>
      <c r="F140" s="416"/>
      <c r="G140" s="417"/>
      <c r="H140" s="418">
        <f t="shared" si="13"/>
        <v>0</v>
      </c>
      <c r="I140" s="205"/>
      <c r="J140" s="205"/>
      <c r="K140" s="205">
        <f t="shared" si="11"/>
        <v>0</v>
      </c>
      <c r="L140" s="205">
        <f t="shared" si="14"/>
        <v>0</v>
      </c>
    </row>
    <row r="141" spans="1:12" s="145" customFormat="1" ht="27" customHeight="1">
      <c r="A141" s="419" t="s">
        <v>83</v>
      </c>
      <c r="B141" s="420"/>
      <c r="C141" s="420"/>
      <c r="D141" s="420"/>
      <c r="E141" s="421">
        <f>SUM(E26:E140)</f>
        <v>138138.28999999992</v>
      </c>
      <c r="F141" s="419"/>
      <c r="G141" s="422">
        <f>SUM(G26:G140)</f>
        <v>260.97449999999998</v>
      </c>
      <c r="H141" s="422">
        <f>+E141+G141</f>
        <v>138399.26449999993</v>
      </c>
      <c r="I141" s="422">
        <f>SUM(I26:I140)</f>
        <v>0</v>
      </c>
      <c r="J141" s="422">
        <f>SUM(J26:J140)</f>
        <v>0</v>
      </c>
      <c r="K141" s="422">
        <f>SUM(K26:K140)</f>
        <v>138399.25999999992</v>
      </c>
      <c r="L141" s="422">
        <f>SUM(L26:L140)</f>
        <v>138399.25999999992</v>
      </c>
    </row>
    <row r="142" spans="1:12" ht="35.15" customHeight="1">
      <c r="A142" s="443" t="str">
        <f>+'2.- Resumen por Línea '!B7</f>
        <v>C2.A2.3. Fortalecimiento a las iniciativas productivas de pueblos y nacionalidades afroecuatorianos y montubios, relacionados con la economía popular y solidaria.</v>
      </c>
      <c r="B142" s="443"/>
      <c r="C142" s="443"/>
      <c r="D142" s="443"/>
      <c r="E142" s="443"/>
      <c r="F142" s="443"/>
      <c r="G142" s="443"/>
      <c r="H142" s="443"/>
      <c r="I142" s="443"/>
      <c r="J142" s="443"/>
      <c r="K142" s="443"/>
      <c r="L142" s="443"/>
    </row>
    <row r="143" spans="1:12" s="141" customFormat="1" ht="27" customHeight="1">
      <c r="A143" s="414" t="s">
        <v>432</v>
      </c>
      <c r="B143" s="204" t="s">
        <v>128</v>
      </c>
      <c r="C143" s="204">
        <v>12000</v>
      </c>
      <c r="D143" s="423">
        <v>2.21</v>
      </c>
      <c r="E143" s="415">
        <f>ROUND(C143*D143,2)</f>
        <v>26520</v>
      </c>
      <c r="F143" s="416">
        <v>0</v>
      </c>
      <c r="G143" s="417">
        <f>+F143*E143</f>
        <v>0</v>
      </c>
      <c r="H143" s="418">
        <f>ROUND(+G143+E143,2)</f>
        <v>26520</v>
      </c>
      <c r="I143" s="205"/>
      <c r="J143" s="205"/>
      <c r="K143" s="205">
        <f t="shared" ref="K143:K151" si="16">H143</f>
        <v>26520</v>
      </c>
      <c r="L143" s="205">
        <f t="shared" ref="L143:L152" si="17">+I143+J143+K143</f>
        <v>26520</v>
      </c>
    </row>
    <row r="144" spans="1:12" s="141" customFormat="1" ht="27" customHeight="1">
      <c r="A144" s="414" t="s">
        <v>433</v>
      </c>
      <c r="B144" s="204" t="s">
        <v>128</v>
      </c>
      <c r="C144" s="204">
        <v>100</v>
      </c>
      <c r="D144" s="423">
        <v>68</v>
      </c>
      <c r="E144" s="415">
        <f t="shared" ref="E144:E151" si="18">ROUND(C144*D144,2)</f>
        <v>6800</v>
      </c>
      <c r="F144" s="416"/>
      <c r="G144" s="417">
        <f t="shared" ref="G144:G151" si="19">+F144*E144</f>
        <v>0</v>
      </c>
      <c r="H144" s="418">
        <f t="shared" ref="H144:H151" si="20">ROUND(+G144+E144,2)</f>
        <v>6800</v>
      </c>
      <c r="I144" s="205"/>
      <c r="J144" s="205"/>
      <c r="K144" s="205">
        <f t="shared" si="16"/>
        <v>6800</v>
      </c>
      <c r="L144" s="205">
        <f t="shared" si="17"/>
        <v>6800</v>
      </c>
    </row>
    <row r="145" spans="1:12" s="141" customFormat="1" ht="27" customHeight="1">
      <c r="A145" s="414"/>
      <c r="B145" s="204"/>
      <c r="C145" s="204"/>
      <c r="D145" s="423"/>
      <c r="E145" s="415">
        <f t="shared" si="18"/>
        <v>0</v>
      </c>
      <c r="F145" s="416"/>
      <c r="G145" s="417">
        <f t="shared" si="19"/>
        <v>0</v>
      </c>
      <c r="H145" s="418">
        <f t="shared" si="20"/>
        <v>0</v>
      </c>
      <c r="I145" s="205"/>
      <c r="J145" s="205"/>
      <c r="K145" s="205">
        <f t="shared" si="16"/>
        <v>0</v>
      </c>
      <c r="L145" s="205">
        <f t="shared" si="17"/>
        <v>0</v>
      </c>
    </row>
    <row r="146" spans="1:12" s="141" customFormat="1" ht="27" customHeight="1">
      <c r="A146" s="414"/>
      <c r="B146" s="204"/>
      <c r="C146" s="204"/>
      <c r="D146" s="423"/>
      <c r="E146" s="415">
        <f t="shared" si="18"/>
        <v>0</v>
      </c>
      <c r="F146" s="416"/>
      <c r="G146" s="417">
        <f t="shared" si="19"/>
        <v>0</v>
      </c>
      <c r="H146" s="418">
        <f t="shared" si="20"/>
        <v>0</v>
      </c>
      <c r="I146" s="205"/>
      <c r="J146" s="205"/>
      <c r="K146" s="205">
        <f t="shared" si="16"/>
        <v>0</v>
      </c>
      <c r="L146" s="205">
        <f t="shared" si="17"/>
        <v>0</v>
      </c>
    </row>
    <row r="147" spans="1:12" s="141" customFormat="1" ht="27" customHeight="1">
      <c r="A147" s="414"/>
      <c r="B147" s="204"/>
      <c r="C147" s="204"/>
      <c r="D147" s="423"/>
      <c r="E147" s="415">
        <f t="shared" si="18"/>
        <v>0</v>
      </c>
      <c r="F147" s="416"/>
      <c r="G147" s="417">
        <f t="shared" si="19"/>
        <v>0</v>
      </c>
      <c r="H147" s="418">
        <f t="shared" si="20"/>
        <v>0</v>
      </c>
      <c r="I147" s="205"/>
      <c r="J147" s="205"/>
      <c r="K147" s="205">
        <f t="shared" si="16"/>
        <v>0</v>
      </c>
      <c r="L147" s="205">
        <f t="shared" si="17"/>
        <v>0</v>
      </c>
    </row>
    <row r="148" spans="1:12" s="141" customFormat="1" ht="27" customHeight="1">
      <c r="A148" s="414"/>
      <c r="B148" s="204"/>
      <c r="C148" s="204"/>
      <c r="D148" s="423"/>
      <c r="E148" s="415">
        <f t="shared" si="18"/>
        <v>0</v>
      </c>
      <c r="F148" s="416"/>
      <c r="G148" s="417">
        <f t="shared" si="19"/>
        <v>0</v>
      </c>
      <c r="H148" s="418">
        <f t="shared" si="20"/>
        <v>0</v>
      </c>
      <c r="I148" s="205"/>
      <c r="J148" s="205"/>
      <c r="K148" s="205">
        <f t="shared" si="16"/>
        <v>0</v>
      </c>
      <c r="L148" s="205">
        <f t="shared" si="17"/>
        <v>0</v>
      </c>
    </row>
    <row r="149" spans="1:12" s="141" customFormat="1" ht="27" customHeight="1">
      <c r="A149" s="414"/>
      <c r="B149" s="204"/>
      <c r="C149" s="204"/>
      <c r="D149" s="423"/>
      <c r="E149" s="415">
        <f t="shared" si="18"/>
        <v>0</v>
      </c>
      <c r="F149" s="416"/>
      <c r="G149" s="417">
        <f t="shared" si="19"/>
        <v>0</v>
      </c>
      <c r="H149" s="418">
        <f t="shared" si="20"/>
        <v>0</v>
      </c>
      <c r="I149" s="205"/>
      <c r="J149" s="205"/>
      <c r="K149" s="205">
        <f t="shared" si="16"/>
        <v>0</v>
      </c>
      <c r="L149" s="205">
        <f t="shared" si="17"/>
        <v>0</v>
      </c>
    </row>
    <row r="150" spans="1:12" s="141" customFormat="1" ht="27" customHeight="1">
      <c r="A150" s="414"/>
      <c r="B150" s="204"/>
      <c r="C150" s="204"/>
      <c r="D150" s="423"/>
      <c r="E150" s="415">
        <f t="shared" si="18"/>
        <v>0</v>
      </c>
      <c r="F150" s="416"/>
      <c r="G150" s="417">
        <f t="shared" si="19"/>
        <v>0</v>
      </c>
      <c r="H150" s="418">
        <f t="shared" si="20"/>
        <v>0</v>
      </c>
      <c r="I150" s="205"/>
      <c r="J150" s="205"/>
      <c r="K150" s="205">
        <f t="shared" si="16"/>
        <v>0</v>
      </c>
      <c r="L150" s="205">
        <f t="shared" si="17"/>
        <v>0</v>
      </c>
    </row>
    <row r="151" spans="1:12" s="141" customFormat="1" ht="27" customHeight="1">
      <c r="A151" s="414"/>
      <c r="B151" s="204"/>
      <c r="C151" s="204"/>
      <c r="D151" s="423"/>
      <c r="E151" s="415">
        <f t="shared" si="18"/>
        <v>0</v>
      </c>
      <c r="F151" s="416"/>
      <c r="G151" s="417">
        <f t="shared" si="19"/>
        <v>0</v>
      </c>
      <c r="H151" s="418">
        <f t="shared" si="20"/>
        <v>0</v>
      </c>
      <c r="I151" s="205"/>
      <c r="J151" s="205"/>
      <c r="K151" s="205">
        <f t="shared" si="16"/>
        <v>0</v>
      </c>
      <c r="L151" s="205">
        <f t="shared" si="17"/>
        <v>0</v>
      </c>
    </row>
    <row r="152" spans="1:12" ht="28.5" customHeight="1">
      <c r="A152" s="449" t="s">
        <v>83</v>
      </c>
      <c r="B152" s="449"/>
      <c r="C152" s="449"/>
      <c r="D152" s="449"/>
      <c r="E152" s="424">
        <f>SUM(E143:E151)</f>
        <v>33320</v>
      </c>
      <c r="F152" s="422"/>
      <c r="G152" s="422">
        <f>SUM(G143:G151)</f>
        <v>0</v>
      </c>
      <c r="H152" s="425">
        <f>SUM(H143:H151)</f>
        <v>33320</v>
      </c>
      <c r="I152" s="422">
        <f t="shared" ref="I152:J152" si="21">SUM(I143:I151)</f>
        <v>0</v>
      </c>
      <c r="J152" s="422">
        <f t="shared" si="21"/>
        <v>0</v>
      </c>
      <c r="K152" s="422">
        <f>SUM(K143:K151)</f>
        <v>33320</v>
      </c>
      <c r="L152" s="422">
        <f t="shared" si="17"/>
        <v>33320</v>
      </c>
    </row>
    <row r="153" spans="1:12" ht="38.15" customHeight="1">
      <c r="A153" s="443" t="str">
        <f>+'2.- Resumen por Línea '!B8</f>
        <v>C2.A2.4. Fortalecimiento de iniciativas productivas comunitarias de organizaciones, pueblos y nacionalidades afroecuatorianos y montubios, mediante la dotación de insumos, materiales y equipamiento.</v>
      </c>
      <c r="B153" s="443"/>
      <c r="C153" s="443"/>
      <c r="D153" s="443"/>
      <c r="E153" s="443"/>
      <c r="F153" s="443"/>
      <c r="G153" s="443"/>
      <c r="H153" s="443"/>
      <c r="I153" s="443"/>
      <c r="J153" s="443"/>
      <c r="K153" s="443"/>
      <c r="L153" s="443"/>
    </row>
    <row r="154" spans="1:12" s="141" customFormat="1" ht="24" customHeight="1">
      <c r="A154" s="272" t="s">
        <v>293</v>
      </c>
      <c r="B154" s="273"/>
      <c r="C154" s="274"/>
      <c r="D154" s="275"/>
      <c r="E154" s="426">
        <f>C154*D154</f>
        <v>0</v>
      </c>
      <c r="F154" s="416"/>
      <c r="G154" s="427">
        <f>+F154*E154</f>
        <v>0</v>
      </c>
      <c r="H154" s="418">
        <f>ROUND(+G154+E154,2)</f>
        <v>0</v>
      </c>
      <c r="I154" s="206"/>
      <c r="J154" s="206"/>
      <c r="K154" s="206">
        <f>H154</f>
        <v>0</v>
      </c>
      <c r="L154" s="206">
        <f t="shared" ref="L154:L226" si="22">+I154+J154+K154</f>
        <v>0</v>
      </c>
    </row>
    <row r="155" spans="1:12" s="141" customFormat="1" ht="24" customHeight="1">
      <c r="A155" s="285" t="s">
        <v>294</v>
      </c>
      <c r="B155" s="286" t="s">
        <v>128</v>
      </c>
      <c r="C155" s="277">
        <v>3</v>
      </c>
      <c r="D155" s="288">
        <v>550</v>
      </c>
      <c r="E155" s="426">
        <f t="shared" ref="E155:E218" si="23">C155*D155</f>
        <v>1650</v>
      </c>
      <c r="F155" s="416"/>
      <c r="G155" s="427">
        <f t="shared" ref="G155:G218" si="24">+F155*E155</f>
        <v>0</v>
      </c>
      <c r="H155" s="418">
        <f t="shared" ref="H155:H218" si="25">ROUND(+G155+E155,2)</f>
        <v>1650</v>
      </c>
      <c r="I155" s="206"/>
      <c r="J155" s="206"/>
      <c r="K155" s="206">
        <f t="shared" ref="K155:K218" si="26">H155</f>
        <v>1650</v>
      </c>
      <c r="L155" s="206">
        <f t="shared" ref="L155:L218" si="27">+I155+J155+K155</f>
        <v>1650</v>
      </c>
    </row>
    <row r="156" spans="1:12" s="141" customFormat="1" ht="24" customHeight="1">
      <c r="A156" s="285" t="s">
        <v>295</v>
      </c>
      <c r="B156" s="286" t="s">
        <v>128</v>
      </c>
      <c r="C156" s="277">
        <v>4</v>
      </c>
      <c r="D156" s="288">
        <v>750</v>
      </c>
      <c r="E156" s="426">
        <f t="shared" si="23"/>
        <v>3000</v>
      </c>
      <c r="F156" s="416"/>
      <c r="G156" s="427">
        <f t="shared" si="24"/>
        <v>0</v>
      </c>
      <c r="H156" s="418">
        <f t="shared" si="25"/>
        <v>3000</v>
      </c>
      <c r="I156" s="206"/>
      <c r="J156" s="206"/>
      <c r="K156" s="206">
        <f t="shared" si="26"/>
        <v>3000</v>
      </c>
      <c r="L156" s="206">
        <f t="shared" si="27"/>
        <v>3000</v>
      </c>
    </row>
    <row r="157" spans="1:12" s="141" customFormat="1" ht="24" customHeight="1">
      <c r="A157" s="281" t="s">
        <v>296</v>
      </c>
      <c r="B157" s="282" t="s">
        <v>128</v>
      </c>
      <c r="C157" s="293">
        <v>12</v>
      </c>
      <c r="D157" s="292">
        <v>38.5</v>
      </c>
      <c r="E157" s="426">
        <f t="shared" si="23"/>
        <v>462</v>
      </c>
      <c r="F157" s="416"/>
      <c r="G157" s="427">
        <f t="shared" si="24"/>
        <v>0</v>
      </c>
      <c r="H157" s="418">
        <f t="shared" si="25"/>
        <v>462</v>
      </c>
      <c r="I157" s="206"/>
      <c r="J157" s="206"/>
      <c r="K157" s="206">
        <f t="shared" si="26"/>
        <v>462</v>
      </c>
      <c r="L157" s="206">
        <f t="shared" si="27"/>
        <v>462</v>
      </c>
    </row>
    <row r="158" spans="1:12" s="141" customFormat="1" ht="24" customHeight="1">
      <c r="A158" s="285" t="s">
        <v>297</v>
      </c>
      <c r="B158" s="282" t="s">
        <v>128</v>
      </c>
      <c r="C158" s="293">
        <v>12</v>
      </c>
      <c r="D158" s="292">
        <v>41.5</v>
      </c>
      <c r="E158" s="426">
        <f t="shared" si="23"/>
        <v>498</v>
      </c>
      <c r="F158" s="416"/>
      <c r="G158" s="427">
        <f t="shared" si="24"/>
        <v>0</v>
      </c>
      <c r="H158" s="418">
        <f t="shared" si="25"/>
        <v>498</v>
      </c>
      <c r="I158" s="206"/>
      <c r="J158" s="206"/>
      <c r="K158" s="206">
        <f t="shared" si="26"/>
        <v>498</v>
      </c>
      <c r="L158" s="206">
        <f t="shared" si="27"/>
        <v>498</v>
      </c>
    </row>
    <row r="159" spans="1:12" s="141" customFormat="1" ht="24" customHeight="1">
      <c r="A159" s="285" t="s">
        <v>298</v>
      </c>
      <c r="B159" s="286" t="s">
        <v>128</v>
      </c>
      <c r="C159" s="290">
        <v>3</v>
      </c>
      <c r="D159" s="289">
        <v>150</v>
      </c>
      <c r="E159" s="426">
        <f t="shared" si="23"/>
        <v>450</v>
      </c>
      <c r="F159" s="416"/>
      <c r="G159" s="427">
        <f t="shared" si="24"/>
        <v>0</v>
      </c>
      <c r="H159" s="418">
        <f t="shared" si="25"/>
        <v>450</v>
      </c>
      <c r="I159" s="206"/>
      <c r="J159" s="206"/>
      <c r="K159" s="206">
        <f t="shared" si="26"/>
        <v>450</v>
      </c>
      <c r="L159" s="206">
        <f t="shared" si="27"/>
        <v>450</v>
      </c>
    </row>
    <row r="160" spans="1:12" s="141" customFormat="1" ht="24" customHeight="1">
      <c r="A160" s="285" t="s">
        <v>299</v>
      </c>
      <c r="B160" s="286" t="s">
        <v>128</v>
      </c>
      <c r="C160" s="290">
        <v>4</v>
      </c>
      <c r="D160" s="289">
        <v>300</v>
      </c>
      <c r="E160" s="426">
        <f t="shared" si="23"/>
        <v>1200</v>
      </c>
      <c r="F160" s="416"/>
      <c r="G160" s="427">
        <f t="shared" si="24"/>
        <v>0</v>
      </c>
      <c r="H160" s="418">
        <f t="shared" si="25"/>
        <v>1200</v>
      </c>
      <c r="I160" s="206"/>
      <c r="J160" s="206"/>
      <c r="K160" s="206">
        <f t="shared" si="26"/>
        <v>1200</v>
      </c>
      <c r="L160" s="206">
        <f t="shared" si="27"/>
        <v>1200</v>
      </c>
    </row>
    <row r="161" spans="1:12" s="141" customFormat="1" ht="24" customHeight="1">
      <c r="A161" s="285" t="s">
        <v>300</v>
      </c>
      <c r="B161" s="282" t="s">
        <v>128</v>
      </c>
      <c r="C161" s="279">
        <v>12</v>
      </c>
      <c r="D161" s="280">
        <v>80.5</v>
      </c>
      <c r="E161" s="426">
        <f t="shared" si="23"/>
        <v>966</v>
      </c>
      <c r="F161" s="416"/>
      <c r="G161" s="427">
        <f t="shared" si="24"/>
        <v>0</v>
      </c>
      <c r="H161" s="418">
        <f t="shared" si="25"/>
        <v>966</v>
      </c>
      <c r="I161" s="206"/>
      <c r="J161" s="206"/>
      <c r="K161" s="206">
        <f t="shared" si="26"/>
        <v>966</v>
      </c>
      <c r="L161" s="206">
        <f t="shared" si="27"/>
        <v>966</v>
      </c>
    </row>
    <row r="162" spans="1:12" s="141" customFormat="1" ht="24" customHeight="1">
      <c r="A162" s="285" t="s">
        <v>301</v>
      </c>
      <c r="B162" s="282" t="s">
        <v>128</v>
      </c>
      <c r="C162" s="271">
        <v>9</v>
      </c>
      <c r="D162" s="270">
        <v>65.2</v>
      </c>
      <c r="E162" s="426">
        <f t="shared" si="23"/>
        <v>586.80000000000007</v>
      </c>
      <c r="F162" s="416"/>
      <c r="G162" s="427">
        <f t="shared" si="24"/>
        <v>0</v>
      </c>
      <c r="H162" s="418">
        <f t="shared" si="25"/>
        <v>586.79999999999995</v>
      </c>
      <c r="I162" s="206"/>
      <c r="J162" s="206"/>
      <c r="K162" s="206">
        <f t="shared" si="26"/>
        <v>586.79999999999995</v>
      </c>
      <c r="L162" s="206">
        <f t="shared" si="27"/>
        <v>586.79999999999995</v>
      </c>
    </row>
    <row r="163" spans="1:12" s="141" customFormat="1" ht="24" customHeight="1">
      <c r="A163" s="285" t="s">
        <v>302</v>
      </c>
      <c r="B163" s="282" t="s">
        <v>128</v>
      </c>
      <c r="C163" s="271">
        <v>12</v>
      </c>
      <c r="D163" s="292">
        <v>57.49</v>
      </c>
      <c r="E163" s="426">
        <f t="shared" si="23"/>
        <v>689.88</v>
      </c>
      <c r="F163" s="416"/>
      <c r="G163" s="427">
        <f t="shared" si="24"/>
        <v>0</v>
      </c>
      <c r="H163" s="418">
        <f t="shared" si="25"/>
        <v>689.88</v>
      </c>
      <c r="I163" s="206"/>
      <c r="J163" s="206"/>
      <c r="K163" s="206">
        <f t="shared" si="26"/>
        <v>689.88</v>
      </c>
      <c r="L163" s="206">
        <f t="shared" si="27"/>
        <v>689.88</v>
      </c>
    </row>
    <row r="164" spans="1:12" s="141" customFormat="1" ht="24" customHeight="1">
      <c r="A164" s="285" t="s">
        <v>303</v>
      </c>
      <c r="B164" s="282" t="s">
        <v>128</v>
      </c>
      <c r="C164" s="271">
        <v>12</v>
      </c>
      <c r="D164" s="292">
        <v>52.89</v>
      </c>
      <c r="E164" s="426">
        <f t="shared" si="23"/>
        <v>634.68000000000006</v>
      </c>
      <c r="F164" s="416"/>
      <c r="G164" s="427">
        <f t="shared" si="24"/>
        <v>0</v>
      </c>
      <c r="H164" s="418">
        <f t="shared" si="25"/>
        <v>634.67999999999995</v>
      </c>
      <c r="I164" s="206"/>
      <c r="J164" s="206"/>
      <c r="K164" s="206">
        <f t="shared" si="26"/>
        <v>634.67999999999995</v>
      </c>
      <c r="L164" s="206">
        <f t="shared" si="27"/>
        <v>634.67999999999995</v>
      </c>
    </row>
    <row r="165" spans="1:12" s="141" customFormat="1" ht="24" customHeight="1">
      <c r="A165" s="285" t="s">
        <v>304</v>
      </c>
      <c r="B165" s="286" t="s">
        <v>128</v>
      </c>
      <c r="C165" s="290">
        <v>22</v>
      </c>
      <c r="D165" s="284">
        <v>60</v>
      </c>
      <c r="E165" s="426">
        <f t="shared" si="23"/>
        <v>1320</v>
      </c>
      <c r="F165" s="416"/>
      <c r="G165" s="427">
        <f t="shared" si="24"/>
        <v>0</v>
      </c>
      <c r="H165" s="418">
        <f t="shared" si="25"/>
        <v>1320</v>
      </c>
      <c r="I165" s="206"/>
      <c r="J165" s="206"/>
      <c r="K165" s="206">
        <f t="shared" si="26"/>
        <v>1320</v>
      </c>
      <c r="L165" s="206">
        <f t="shared" si="27"/>
        <v>1320</v>
      </c>
    </row>
    <row r="166" spans="1:12" s="141" customFormat="1" ht="24" customHeight="1">
      <c r="A166" s="285" t="s">
        <v>305</v>
      </c>
      <c r="B166" s="282" t="s">
        <v>128</v>
      </c>
      <c r="C166" s="271">
        <v>14</v>
      </c>
      <c r="D166" s="292">
        <v>250</v>
      </c>
      <c r="E166" s="426">
        <f t="shared" si="23"/>
        <v>3500</v>
      </c>
      <c r="F166" s="416"/>
      <c r="G166" s="427">
        <f t="shared" si="24"/>
        <v>0</v>
      </c>
      <c r="H166" s="418">
        <f t="shared" si="25"/>
        <v>3500</v>
      </c>
      <c r="I166" s="206"/>
      <c r="J166" s="206"/>
      <c r="K166" s="206">
        <f t="shared" si="26"/>
        <v>3500</v>
      </c>
      <c r="L166" s="206">
        <f t="shared" si="27"/>
        <v>3500</v>
      </c>
    </row>
    <row r="167" spans="1:12" s="141" customFormat="1" ht="24" customHeight="1">
      <c r="A167" s="285" t="s">
        <v>306</v>
      </c>
      <c r="B167" s="282" t="s">
        <v>128</v>
      </c>
      <c r="C167" s="293">
        <v>4</v>
      </c>
      <c r="D167" s="284">
        <v>125</v>
      </c>
      <c r="E167" s="426">
        <f t="shared" si="23"/>
        <v>500</v>
      </c>
      <c r="F167" s="416"/>
      <c r="G167" s="427">
        <f t="shared" si="24"/>
        <v>0</v>
      </c>
      <c r="H167" s="418">
        <f t="shared" si="25"/>
        <v>500</v>
      </c>
      <c r="I167" s="206"/>
      <c r="J167" s="206"/>
      <c r="K167" s="206">
        <f t="shared" si="26"/>
        <v>500</v>
      </c>
      <c r="L167" s="206">
        <f t="shared" si="27"/>
        <v>500</v>
      </c>
    </row>
    <row r="168" spans="1:12" s="141" customFormat="1" ht="24" customHeight="1">
      <c r="A168" s="285" t="s">
        <v>307</v>
      </c>
      <c r="B168" s="283" t="s">
        <v>128</v>
      </c>
      <c r="C168" s="290">
        <v>5</v>
      </c>
      <c r="D168" s="284">
        <v>1500</v>
      </c>
      <c r="E168" s="426">
        <f t="shared" si="23"/>
        <v>7500</v>
      </c>
      <c r="F168" s="416"/>
      <c r="G168" s="427">
        <f t="shared" si="24"/>
        <v>0</v>
      </c>
      <c r="H168" s="418">
        <f t="shared" si="25"/>
        <v>7500</v>
      </c>
      <c r="I168" s="206"/>
      <c r="J168" s="206"/>
      <c r="K168" s="206">
        <f t="shared" si="26"/>
        <v>7500</v>
      </c>
      <c r="L168" s="206">
        <f t="shared" si="27"/>
        <v>7500</v>
      </c>
    </row>
    <row r="169" spans="1:12" s="141" customFormat="1" ht="24" customHeight="1">
      <c r="A169" s="285" t="s">
        <v>308</v>
      </c>
      <c r="B169" s="283" t="s">
        <v>128</v>
      </c>
      <c r="C169" s="290">
        <v>4</v>
      </c>
      <c r="D169" s="284">
        <v>490</v>
      </c>
      <c r="E169" s="426">
        <f t="shared" si="23"/>
        <v>1960</v>
      </c>
      <c r="F169" s="416"/>
      <c r="G169" s="427">
        <f t="shared" si="24"/>
        <v>0</v>
      </c>
      <c r="H169" s="418">
        <f t="shared" si="25"/>
        <v>1960</v>
      </c>
      <c r="I169" s="206"/>
      <c r="J169" s="206"/>
      <c r="K169" s="206">
        <f t="shared" si="26"/>
        <v>1960</v>
      </c>
      <c r="L169" s="206">
        <f t="shared" si="27"/>
        <v>1960</v>
      </c>
    </row>
    <row r="170" spans="1:12" s="141" customFormat="1" ht="24" customHeight="1">
      <c r="A170" s="285" t="s">
        <v>309</v>
      </c>
      <c r="B170" s="283" t="s">
        <v>128</v>
      </c>
      <c r="C170" s="290">
        <v>9</v>
      </c>
      <c r="D170" s="284">
        <v>160</v>
      </c>
      <c r="E170" s="426">
        <f t="shared" si="23"/>
        <v>1440</v>
      </c>
      <c r="F170" s="416"/>
      <c r="G170" s="427">
        <f t="shared" si="24"/>
        <v>0</v>
      </c>
      <c r="H170" s="418">
        <f t="shared" si="25"/>
        <v>1440</v>
      </c>
      <c r="I170" s="206"/>
      <c r="J170" s="206"/>
      <c r="K170" s="206">
        <f t="shared" si="26"/>
        <v>1440</v>
      </c>
      <c r="L170" s="206">
        <f t="shared" si="27"/>
        <v>1440</v>
      </c>
    </row>
    <row r="171" spans="1:12" s="141" customFormat="1" ht="24" customHeight="1">
      <c r="A171" s="269" t="s">
        <v>310</v>
      </c>
      <c r="B171" s="276" t="s">
        <v>128</v>
      </c>
      <c r="C171" s="278">
        <v>22</v>
      </c>
      <c r="D171" s="292">
        <v>9.5</v>
      </c>
      <c r="E171" s="426">
        <f t="shared" si="23"/>
        <v>209</v>
      </c>
      <c r="F171" s="416"/>
      <c r="G171" s="427">
        <f t="shared" si="24"/>
        <v>0</v>
      </c>
      <c r="H171" s="418">
        <f t="shared" si="25"/>
        <v>209</v>
      </c>
      <c r="I171" s="206"/>
      <c r="J171" s="206"/>
      <c r="K171" s="206">
        <f t="shared" si="26"/>
        <v>209</v>
      </c>
      <c r="L171" s="206">
        <f t="shared" si="27"/>
        <v>209</v>
      </c>
    </row>
    <row r="172" spans="1:12" s="141" customFormat="1" ht="24" customHeight="1">
      <c r="A172" s="269" t="s">
        <v>311</v>
      </c>
      <c r="B172" s="276" t="s">
        <v>128</v>
      </c>
      <c r="C172" s="278">
        <v>22</v>
      </c>
      <c r="D172" s="292">
        <v>23</v>
      </c>
      <c r="E172" s="426">
        <f t="shared" si="23"/>
        <v>506</v>
      </c>
      <c r="F172" s="416"/>
      <c r="G172" s="427">
        <f t="shared" si="24"/>
        <v>0</v>
      </c>
      <c r="H172" s="418">
        <f t="shared" si="25"/>
        <v>506</v>
      </c>
      <c r="I172" s="206"/>
      <c r="J172" s="206"/>
      <c r="K172" s="206">
        <f t="shared" si="26"/>
        <v>506</v>
      </c>
      <c r="L172" s="206">
        <f t="shared" si="27"/>
        <v>506</v>
      </c>
    </row>
    <row r="173" spans="1:12" s="141" customFormat="1" ht="24" customHeight="1">
      <c r="A173" s="269" t="s">
        <v>312</v>
      </c>
      <c r="B173" s="276" t="s">
        <v>128</v>
      </c>
      <c r="C173" s="278">
        <v>22</v>
      </c>
      <c r="D173" s="292">
        <v>9.1</v>
      </c>
      <c r="E173" s="426">
        <f t="shared" si="23"/>
        <v>200.2</v>
      </c>
      <c r="F173" s="416"/>
      <c r="G173" s="427">
        <f t="shared" si="24"/>
        <v>0</v>
      </c>
      <c r="H173" s="418">
        <f t="shared" si="25"/>
        <v>200.2</v>
      </c>
      <c r="I173" s="206"/>
      <c r="J173" s="206"/>
      <c r="K173" s="206">
        <f t="shared" si="26"/>
        <v>200.2</v>
      </c>
      <c r="L173" s="206">
        <f t="shared" si="27"/>
        <v>200.2</v>
      </c>
    </row>
    <row r="174" spans="1:12" s="141" customFormat="1" ht="24" customHeight="1">
      <c r="A174" s="301" t="s">
        <v>313</v>
      </c>
      <c r="B174" s="428"/>
      <c r="C174" s="302"/>
      <c r="D174" s="303"/>
      <c r="E174" s="426">
        <f t="shared" si="23"/>
        <v>0</v>
      </c>
      <c r="F174" s="416"/>
      <c r="G174" s="427">
        <f t="shared" si="24"/>
        <v>0</v>
      </c>
      <c r="H174" s="418">
        <f t="shared" si="25"/>
        <v>0</v>
      </c>
      <c r="I174" s="206"/>
      <c r="J174" s="206"/>
      <c r="K174" s="206">
        <f t="shared" si="26"/>
        <v>0</v>
      </c>
      <c r="L174" s="206">
        <f t="shared" si="27"/>
        <v>0</v>
      </c>
    </row>
    <row r="175" spans="1:12" s="141" customFormat="1" ht="24" customHeight="1">
      <c r="A175" s="285" t="s">
        <v>314</v>
      </c>
      <c r="B175" s="282" t="s">
        <v>128</v>
      </c>
      <c r="C175" s="293">
        <v>3</v>
      </c>
      <c r="D175" s="304">
        <v>116</v>
      </c>
      <c r="E175" s="426">
        <f t="shared" si="23"/>
        <v>348</v>
      </c>
      <c r="F175" s="416"/>
      <c r="G175" s="427">
        <f t="shared" si="24"/>
        <v>0</v>
      </c>
      <c r="H175" s="418">
        <f t="shared" si="25"/>
        <v>348</v>
      </c>
      <c r="I175" s="206"/>
      <c r="J175" s="206"/>
      <c r="K175" s="206">
        <f t="shared" si="26"/>
        <v>348</v>
      </c>
      <c r="L175" s="206">
        <f t="shared" si="27"/>
        <v>348</v>
      </c>
    </row>
    <row r="176" spans="1:12" s="141" customFormat="1" ht="24" customHeight="1">
      <c r="A176" s="285" t="s">
        <v>315</v>
      </c>
      <c r="B176" s="282" t="s">
        <v>128</v>
      </c>
      <c r="C176" s="293">
        <v>4</v>
      </c>
      <c r="D176" s="304">
        <v>60</v>
      </c>
      <c r="E176" s="426">
        <f t="shared" si="23"/>
        <v>240</v>
      </c>
      <c r="F176" s="416"/>
      <c r="G176" s="427">
        <f t="shared" si="24"/>
        <v>0</v>
      </c>
      <c r="H176" s="418">
        <f t="shared" si="25"/>
        <v>240</v>
      </c>
      <c r="I176" s="206"/>
      <c r="J176" s="206"/>
      <c r="K176" s="206">
        <f t="shared" si="26"/>
        <v>240</v>
      </c>
      <c r="L176" s="206">
        <f t="shared" si="27"/>
        <v>240</v>
      </c>
    </row>
    <row r="177" spans="1:12" s="141" customFormat="1" ht="24" customHeight="1">
      <c r="A177" s="285" t="s">
        <v>316</v>
      </c>
      <c r="B177" s="286" t="s">
        <v>128</v>
      </c>
      <c r="C177" s="287">
        <v>2</v>
      </c>
      <c r="D177" s="288">
        <v>104</v>
      </c>
      <c r="E177" s="426">
        <f t="shared" si="23"/>
        <v>208</v>
      </c>
      <c r="F177" s="416"/>
      <c r="G177" s="427">
        <f t="shared" si="24"/>
        <v>0</v>
      </c>
      <c r="H177" s="418">
        <f t="shared" si="25"/>
        <v>208</v>
      </c>
      <c r="I177" s="206"/>
      <c r="J177" s="206"/>
      <c r="K177" s="206">
        <f t="shared" si="26"/>
        <v>208</v>
      </c>
      <c r="L177" s="206">
        <f t="shared" si="27"/>
        <v>208</v>
      </c>
    </row>
    <row r="178" spans="1:12" s="141" customFormat="1" ht="24" customHeight="1">
      <c r="A178" s="285" t="s">
        <v>317</v>
      </c>
      <c r="B178" s="286" t="s">
        <v>128</v>
      </c>
      <c r="C178" s="287">
        <v>5</v>
      </c>
      <c r="D178" s="288">
        <v>24</v>
      </c>
      <c r="E178" s="426">
        <f t="shared" si="23"/>
        <v>120</v>
      </c>
      <c r="F178" s="416"/>
      <c r="G178" s="427">
        <f t="shared" si="24"/>
        <v>0</v>
      </c>
      <c r="H178" s="418">
        <f t="shared" si="25"/>
        <v>120</v>
      </c>
      <c r="I178" s="206"/>
      <c r="J178" s="206"/>
      <c r="K178" s="206">
        <f t="shared" si="26"/>
        <v>120</v>
      </c>
      <c r="L178" s="206">
        <f t="shared" si="27"/>
        <v>120</v>
      </c>
    </row>
    <row r="179" spans="1:12" s="141" customFormat="1" ht="24" customHeight="1">
      <c r="A179" s="285" t="s">
        <v>318</v>
      </c>
      <c r="B179" s="282" t="s">
        <v>128</v>
      </c>
      <c r="C179" s="293">
        <v>30</v>
      </c>
      <c r="D179" s="304">
        <v>4</v>
      </c>
      <c r="E179" s="426">
        <f t="shared" si="23"/>
        <v>120</v>
      </c>
      <c r="F179" s="416"/>
      <c r="G179" s="427">
        <f t="shared" si="24"/>
        <v>0</v>
      </c>
      <c r="H179" s="418">
        <f t="shared" si="25"/>
        <v>120</v>
      </c>
      <c r="I179" s="206"/>
      <c r="J179" s="206"/>
      <c r="K179" s="206">
        <f t="shared" si="26"/>
        <v>120</v>
      </c>
      <c r="L179" s="206">
        <f t="shared" si="27"/>
        <v>120</v>
      </c>
    </row>
    <row r="180" spans="1:12" s="141" customFormat="1" ht="24" customHeight="1">
      <c r="A180" s="285" t="s">
        <v>319</v>
      </c>
      <c r="B180" s="282" t="s">
        <v>128</v>
      </c>
      <c r="C180" s="293">
        <v>12</v>
      </c>
      <c r="D180" s="292">
        <v>2</v>
      </c>
      <c r="E180" s="426">
        <f t="shared" si="23"/>
        <v>24</v>
      </c>
      <c r="F180" s="416"/>
      <c r="G180" s="427">
        <f t="shared" si="24"/>
        <v>0</v>
      </c>
      <c r="H180" s="418">
        <f t="shared" si="25"/>
        <v>24</v>
      </c>
      <c r="I180" s="206"/>
      <c r="J180" s="206"/>
      <c r="K180" s="206">
        <f t="shared" si="26"/>
        <v>24</v>
      </c>
      <c r="L180" s="206">
        <f t="shared" si="27"/>
        <v>24</v>
      </c>
    </row>
    <row r="181" spans="1:12" s="141" customFormat="1" ht="24" customHeight="1">
      <c r="A181" s="285" t="s">
        <v>320</v>
      </c>
      <c r="B181" s="282" t="s">
        <v>128</v>
      </c>
      <c r="C181" s="293">
        <v>14</v>
      </c>
      <c r="D181" s="292">
        <v>8</v>
      </c>
      <c r="E181" s="426">
        <f t="shared" si="23"/>
        <v>112</v>
      </c>
      <c r="F181" s="416"/>
      <c r="G181" s="427">
        <f t="shared" si="24"/>
        <v>0</v>
      </c>
      <c r="H181" s="418">
        <f t="shared" si="25"/>
        <v>112</v>
      </c>
      <c r="I181" s="206"/>
      <c r="J181" s="206"/>
      <c r="K181" s="206">
        <f t="shared" si="26"/>
        <v>112</v>
      </c>
      <c r="L181" s="206">
        <f t="shared" si="27"/>
        <v>112</v>
      </c>
    </row>
    <row r="182" spans="1:12" s="141" customFormat="1" ht="24" customHeight="1">
      <c r="A182" s="285" t="s">
        <v>321</v>
      </c>
      <c r="B182" s="286" t="s">
        <v>128</v>
      </c>
      <c r="C182" s="287">
        <v>12</v>
      </c>
      <c r="D182" s="289">
        <v>25</v>
      </c>
      <c r="E182" s="426">
        <f t="shared" si="23"/>
        <v>300</v>
      </c>
      <c r="F182" s="416"/>
      <c r="G182" s="427">
        <f t="shared" si="24"/>
        <v>0</v>
      </c>
      <c r="H182" s="418">
        <f t="shared" si="25"/>
        <v>300</v>
      </c>
      <c r="I182" s="206"/>
      <c r="J182" s="206"/>
      <c r="K182" s="206">
        <f t="shared" si="26"/>
        <v>300</v>
      </c>
      <c r="L182" s="206">
        <f t="shared" si="27"/>
        <v>300</v>
      </c>
    </row>
    <row r="183" spans="1:12" s="141" customFormat="1" ht="24" customHeight="1">
      <c r="A183" s="285" t="s">
        <v>322</v>
      </c>
      <c r="B183" s="286" t="s">
        <v>128</v>
      </c>
      <c r="C183" s="287">
        <v>15</v>
      </c>
      <c r="D183" s="289">
        <v>25</v>
      </c>
      <c r="E183" s="426">
        <f t="shared" si="23"/>
        <v>375</v>
      </c>
      <c r="F183" s="416"/>
      <c r="G183" s="427">
        <f t="shared" si="24"/>
        <v>0</v>
      </c>
      <c r="H183" s="418">
        <f t="shared" si="25"/>
        <v>375</v>
      </c>
      <c r="I183" s="206"/>
      <c r="J183" s="206"/>
      <c r="K183" s="206">
        <f t="shared" si="26"/>
        <v>375</v>
      </c>
      <c r="L183" s="206">
        <f t="shared" si="27"/>
        <v>375</v>
      </c>
    </row>
    <row r="184" spans="1:12" s="141" customFormat="1" ht="24" customHeight="1">
      <c r="A184" s="285" t="s">
        <v>323</v>
      </c>
      <c r="B184" s="286" t="s">
        <v>128</v>
      </c>
      <c r="C184" s="287">
        <v>40</v>
      </c>
      <c r="D184" s="289">
        <v>2</v>
      </c>
      <c r="E184" s="426">
        <f t="shared" si="23"/>
        <v>80</v>
      </c>
      <c r="F184" s="416"/>
      <c r="G184" s="427">
        <f t="shared" si="24"/>
        <v>0</v>
      </c>
      <c r="H184" s="418">
        <f t="shared" si="25"/>
        <v>80</v>
      </c>
      <c r="I184" s="206"/>
      <c r="J184" s="206"/>
      <c r="K184" s="206">
        <f t="shared" si="26"/>
        <v>80</v>
      </c>
      <c r="L184" s="206">
        <f t="shared" si="27"/>
        <v>80</v>
      </c>
    </row>
    <row r="185" spans="1:12" s="141" customFormat="1" ht="24" customHeight="1">
      <c r="A185" s="285" t="s">
        <v>324</v>
      </c>
      <c r="B185" s="286" t="s">
        <v>128</v>
      </c>
      <c r="C185" s="287">
        <v>8</v>
      </c>
      <c r="D185" s="289">
        <v>40</v>
      </c>
      <c r="E185" s="426">
        <f t="shared" si="23"/>
        <v>320</v>
      </c>
      <c r="F185" s="416"/>
      <c r="G185" s="427">
        <f t="shared" si="24"/>
        <v>0</v>
      </c>
      <c r="H185" s="418">
        <f t="shared" si="25"/>
        <v>320</v>
      </c>
      <c r="I185" s="206"/>
      <c r="J185" s="206"/>
      <c r="K185" s="206">
        <f t="shared" si="26"/>
        <v>320</v>
      </c>
      <c r="L185" s="206">
        <f t="shared" si="27"/>
        <v>320</v>
      </c>
    </row>
    <row r="186" spans="1:12" s="141" customFormat="1" ht="24" customHeight="1">
      <c r="A186" s="285" t="s">
        <v>325</v>
      </c>
      <c r="B186" s="286" t="s">
        <v>128</v>
      </c>
      <c r="C186" s="287">
        <v>25</v>
      </c>
      <c r="D186" s="289">
        <v>20</v>
      </c>
      <c r="E186" s="426">
        <f t="shared" si="23"/>
        <v>500</v>
      </c>
      <c r="F186" s="416"/>
      <c r="G186" s="427">
        <f t="shared" si="24"/>
        <v>0</v>
      </c>
      <c r="H186" s="418">
        <f t="shared" si="25"/>
        <v>500</v>
      </c>
      <c r="I186" s="206"/>
      <c r="J186" s="206"/>
      <c r="K186" s="206">
        <f t="shared" si="26"/>
        <v>500</v>
      </c>
      <c r="L186" s="206">
        <f t="shared" si="27"/>
        <v>500</v>
      </c>
    </row>
    <row r="187" spans="1:12" s="141" customFormat="1" ht="24" customHeight="1">
      <c r="A187" s="285" t="s">
        <v>326</v>
      </c>
      <c r="B187" s="286" t="s">
        <v>128</v>
      </c>
      <c r="C187" s="287">
        <v>2</v>
      </c>
      <c r="D187" s="289">
        <v>110</v>
      </c>
      <c r="E187" s="426">
        <f t="shared" si="23"/>
        <v>220</v>
      </c>
      <c r="F187" s="416"/>
      <c r="G187" s="427">
        <f t="shared" si="24"/>
        <v>0</v>
      </c>
      <c r="H187" s="418">
        <f t="shared" si="25"/>
        <v>220</v>
      </c>
      <c r="I187" s="206"/>
      <c r="J187" s="206"/>
      <c r="K187" s="206">
        <f t="shared" si="26"/>
        <v>220</v>
      </c>
      <c r="L187" s="206">
        <f t="shared" si="27"/>
        <v>220</v>
      </c>
    </row>
    <row r="188" spans="1:12" s="141" customFormat="1" ht="24" customHeight="1">
      <c r="A188" s="285" t="s">
        <v>327</v>
      </c>
      <c r="B188" s="286" t="s">
        <v>128</v>
      </c>
      <c r="C188" s="287">
        <v>2</v>
      </c>
      <c r="D188" s="289">
        <v>78</v>
      </c>
      <c r="E188" s="426">
        <f t="shared" si="23"/>
        <v>156</v>
      </c>
      <c r="F188" s="416"/>
      <c r="G188" s="427">
        <f t="shared" si="24"/>
        <v>0</v>
      </c>
      <c r="H188" s="418">
        <f t="shared" si="25"/>
        <v>156</v>
      </c>
      <c r="I188" s="206"/>
      <c r="J188" s="206"/>
      <c r="K188" s="206">
        <f t="shared" si="26"/>
        <v>156</v>
      </c>
      <c r="L188" s="206">
        <f t="shared" si="27"/>
        <v>156</v>
      </c>
    </row>
    <row r="189" spans="1:12" s="141" customFormat="1" ht="24" customHeight="1">
      <c r="A189" s="285" t="s">
        <v>328</v>
      </c>
      <c r="B189" s="282" t="s">
        <v>128</v>
      </c>
      <c r="C189" s="293">
        <v>1</v>
      </c>
      <c r="D189" s="292">
        <v>85</v>
      </c>
      <c r="E189" s="426">
        <f t="shared" si="23"/>
        <v>85</v>
      </c>
      <c r="F189" s="416"/>
      <c r="G189" s="427">
        <f t="shared" si="24"/>
        <v>0</v>
      </c>
      <c r="H189" s="418">
        <f t="shared" si="25"/>
        <v>85</v>
      </c>
      <c r="I189" s="206"/>
      <c r="J189" s="206"/>
      <c r="K189" s="206">
        <f t="shared" si="26"/>
        <v>85</v>
      </c>
      <c r="L189" s="206">
        <f t="shared" si="27"/>
        <v>85</v>
      </c>
    </row>
    <row r="190" spans="1:12" s="141" customFormat="1" ht="24" customHeight="1">
      <c r="A190" s="285" t="s">
        <v>329</v>
      </c>
      <c r="B190" s="286" t="s">
        <v>128</v>
      </c>
      <c r="C190" s="287">
        <v>2</v>
      </c>
      <c r="D190" s="289">
        <v>65</v>
      </c>
      <c r="E190" s="426">
        <f t="shared" si="23"/>
        <v>130</v>
      </c>
      <c r="F190" s="416"/>
      <c r="G190" s="427">
        <f t="shared" si="24"/>
        <v>0</v>
      </c>
      <c r="H190" s="418">
        <f t="shared" si="25"/>
        <v>130</v>
      </c>
      <c r="I190" s="206"/>
      <c r="J190" s="206"/>
      <c r="K190" s="206">
        <f t="shared" si="26"/>
        <v>130</v>
      </c>
      <c r="L190" s="206">
        <f t="shared" si="27"/>
        <v>130</v>
      </c>
    </row>
    <row r="191" spans="1:12" s="141" customFormat="1" ht="24" customHeight="1">
      <c r="A191" s="285" t="s">
        <v>330</v>
      </c>
      <c r="B191" s="286" t="s">
        <v>128</v>
      </c>
      <c r="C191" s="287">
        <v>2</v>
      </c>
      <c r="D191" s="289">
        <v>65</v>
      </c>
      <c r="E191" s="426">
        <f t="shared" si="23"/>
        <v>130</v>
      </c>
      <c r="F191" s="416"/>
      <c r="G191" s="427">
        <f t="shared" si="24"/>
        <v>0</v>
      </c>
      <c r="H191" s="418">
        <f t="shared" si="25"/>
        <v>130</v>
      </c>
      <c r="I191" s="206"/>
      <c r="J191" s="206"/>
      <c r="K191" s="206">
        <f t="shared" si="26"/>
        <v>130</v>
      </c>
      <c r="L191" s="206">
        <f t="shared" si="27"/>
        <v>130</v>
      </c>
    </row>
    <row r="192" spans="1:12" s="141" customFormat="1" ht="24" customHeight="1">
      <c r="A192" s="285" t="s">
        <v>331</v>
      </c>
      <c r="B192" s="286" t="s">
        <v>128</v>
      </c>
      <c r="C192" s="287">
        <v>3</v>
      </c>
      <c r="D192" s="289">
        <v>35</v>
      </c>
      <c r="E192" s="426">
        <f t="shared" si="23"/>
        <v>105</v>
      </c>
      <c r="F192" s="416"/>
      <c r="G192" s="427">
        <f t="shared" si="24"/>
        <v>0</v>
      </c>
      <c r="H192" s="418">
        <f t="shared" si="25"/>
        <v>105</v>
      </c>
      <c r="I192" s="206"/>
      <c r="J192" s="206"/>
      <c r="K192" s="206">
        <f t="shared" si="26"/>
        <v>105</v>
      </c>
      <c r="L192" s="206">
        <f t="shared" si="27"/>
        <v>105</v>
      </c>
    </row>
    <row r="193" spans="1:12" s="141" customFormat="1" ht="24" customHeight="1">
      <c r="A193" s="285" t="s">
        <v>332</v>
      </c>
      <c r="B193" s="282" t="s">
        <v>128</v>
      </c>
      <c r="C193" s="294">
        <v>1</v>
      </c>
      <c r="D193" s="295">
        <v>5550</v>
      </c>
      <c r="E193" s="426">
        <f t="shared" si="23"/>
        <v>5550</v>
      </c>
      <c r="F193" s="416"/>
      <c r="G193" s="427">
        <f t="shared" si="24"/>
        <v>0</v>
      </c>
      <c r="H193" s="418">
        <f t="shared" si="25"/>
        <v>5550</v>
      </c>
      <c r="I193" s="206"/>
      <c r="J193" s="206"/>
      <c r="K193" s="206">
        <f t="shared" si="26"/>
        <v>5550</v>
      </c>
      <c r="L193" s="206">
        <f t="shared" si="27"/>
        <v>5550</v>
      </c>
    </row>
    <row r="194" spans="1:12" s="141" customFormat="1" ht="24" customHeight="1">
      <c r="A194" s="285" t="s">
        <v>333</v>
      </c>
      <c r="B194" s="282" t="s">
        <v>128</v>
      </c>
      <c r="C194" s="294">
        <v>1</v>
      </c>
      <c r="D194" s="295">
        <v>2950</v>
      </c>
      <c r="E194" s="426">
        <f t="shared" si="23"/>
        <v>2950</v>
      </c>
      <c r="F194" s="416"/>
      <c r="G194" s="427">
        <f t="shared" si="24"/>
        <v>0</v>
      </c>
      <c r="H194" s="418">
        <f t="shared" si="25"/>
        <v>2950</v>
      </c>
      <c r="I194" s="206"/>
      <c r="J194" s="206"/>
      <c r="K194" s="206">
        <f t="shared" si="26"/>
        <v>2950</v>
      </c>
      <c r="L194" s="206">
        <f t="shared" si="27"/>
        <v>2950</v>
      </c>
    </row>
    <row r="195" spans="1:12" s="141" customFormat="1" ht="24" customHeight="1">
      <c r="A195" s="285" t="s">
        <v>334</v>
      </c>
      <c r="B195" s="282" t="s">
        <v>128</v>
      </c>
      <c r="C195" s="294">
        <v>1</v>
      </c>
      <c r="D195" s="295">
        <v>3200</v>
      </c>
      <c r="E195" s="426">
        <f t="shared" si="23"/>
        <v>3200</v>
      </c>
      <c r="F195" s="416"/>
      <c r="G195" s="427">
        <f t="shared" si="24"/>
        <v>0</v>
      </c>
      <c r="H195" s="418">
        <f t="shared" si="25"/>
        <v>3200</v>
      </c>
      <c r="I195" s="206"/>
      <c r="J195" s="206"/>
      <c r="K195" s="206">
        <f t="shared" si="26"/>
        <v>3200</v>
      </c>
      <c r="L195" s="206">
        <f t="shared" si="27"/>
        <v>3200</v>
      </c>
    </row>
    <row r="196" spans="1:12" s="141" customFormat="1" ht="24" customHeight="1">
      <c r="A196" s="285" t="s">
        <v>335</v>
      </c>
      <c r="B196" s="286" t="s">
        <v>128</v>
      </c>
      <c r="C196" s="287">
        <v>4</v>
      </c>
      <c r="D196" s="289">
        <v>290</v>
      </c>
      <c r="E196" s="426">
        <f t="shared" si="23"/>
        <v>1160</v>
      </c>
      <c r="F196" s="416"/>
      <c r="G196" s="427">
        <f t="shared" si="24"/>
        <v>0</v>
      </c>
      <c r="H196" s="418">
        <f t="shared" si="25"/>
        <v>1160</v>
      </c>
      <c r="I196" s="206"/>
      <c r="J196" s="206"/>
      <c r="K196" s="206">
        <f t="shared" si="26"/>
        <v>1160</v>
      </c>
      <c r="L196" s="206">
        <f t="shared" si="27"/>
        <v>1160</v>
      </c>
    </row>
    <row r="197" spans="1:12" s="141" customFormat="1" ht="24" customHeight="1">
      <c r="A197" s="285" t="s">
        <v>336</v>
      </c>
      <c r="B197" s="283" t="s">
        <v>128</v>
      </c>
      <c r="C197" s="296">
        <v>12</v>
      </c>
      <c r="D197" s="291">
        <v>8</v>
      </c>
      <c r="E197" s="426">
        <f t="shared" si="23"/>
        <v>96</v>
      </c>
      <c r="F197" s="416"/>
      <c r="G197" s="427">
        <f t="shared" si="24"/>
        <v>0</v>
      </c>
      <c r="H197" s="418">
        <f t="shared" si="25"/>
        <v>96</v>
      </c>
      <c r="I197" s="206"/>
      <c r="J197" s="206"/>
      <c r="K197" s="206">
        <f t="shared" si="26"/>
        <v>96</v>
      </c>
      <c r="L197" s="206">
        <f t="shared" si="27"/>
        <v>96</v>
      </c>
    </row>
    <row r="198" spans="1:12" s="141" customFormat="1" ht="24" customHeight="1">
      <c r="A198" s="285" t="s">
        <v>337</v>
      </c>
      <c r="B198" s="283" t="s">
        <v>128</v>
      </c>
      <c r="C198" s="296">
        <v>12</v>
      </c>
      <c r="D198" s="291">
        <v>18.5</v>
      </c>
      <c r="E198" s="426">
        <f t="shared" si="23"/>
        <v>222</v>
      </c>
      <c r="F198" s="416"/>
      <c r="G198" s="427">
        <f t="shared" si="24"/>
        <v>0</v>
      </c>
      <c r="H198" s="418">
        <f t="shared" si="25"/>
        <v>222</v>
      </c>
      <c r="I198" s="206"/>
      <c r="J198" s="206"/>
      <c r="K198" s="206">
        <f t="shared" si="26"/>
        <v>222</v>
      </c>
      <c r="L198" s="206">
        <f t="shared" si="27"/>
        <v>222</v>
      </c>
    </row>
    <row r="199" spans="1:12" s="141" customFormat="1" ht="24" customHeight="1">
      <c r="A199" s="285" t="s">
        <v>338</v>
      </c>
      <c r="B199" s="283" t="s">
        <v>128</v>
      </c>
      <c r="C199" s="296">
        <v>12</v>
      </c>
      <c r="D199" s="291">
        <v>4.5</v>
      </c>
      <c r="E199" s="426">
        <f t="shared" si="23"/>
        <v>54</v>
      </c>
      <c r="F199" s="416"/>
      <c r="G199" s="427">
        <f t="shared" si="24"/>
        <v>0</v>
      </c>
      <c r="H199" s="418">
        <f t="shared" si="25"/>
        <v>54</v>
      </c>
      <c r="I199" s="206"/>
      <c r="J199" s="206"/>
      <c r="K199" s="206">
        <f t="shared" si="26"/>
        <v>54</v>
      </c>
      <c r="L199" s="206">
        <f t="shared" si="27"/>
        <v>54</v>
      </c>
    </row>
    <row r="200" spans="1:12" s="141" customFormat="1" ht="24" customHeight="1">
      <c r="A200" s="285" t="s">
        <v>339</v>
      </c>
      <c r="B200" s="283" t="s">
        <v>128</v>
      </c>
      <c r="C200" s="296">
        <v>12</v>
      </c>
      <c r="D200" s="291">
        <v>50</v>
      </c>
      <c r="E200" s="426">
        <f t="shared" si="23"/>
        <v>600</v>
      </c>
      <c r="F200" s="416"/>
      <c r="G200" s="427">
        <f t="shared" si="24"/>
        <v>0</v>
      </c>
      <c r="H200" s="418">
        <f t="shared" si="25"/>
        <v>600</v>
      </c>
      <c r="I200" s="206"/>
      <c r="J200" s="206"/>
      <c r="K200" s="206">
        <f t="shared" si="26"/>
        <v>600</v>
      </c>
      <c r="L200" s="206">
        <f t="shared" si="27"/>
        <v>600</v>
      </c>
    </row>
    <row r="201" spans="1:12" s="141" customFormat="1" ht="24" customHeight="1">
      <c r="A201" s="285" t="s">
        <v>340</v>
      </c>
      <c r="B201" s="283" t="s">
        <v>341</v>
      </c>
      <c r="C201" s="296">
        <v>24</v>
      </c>
      <c r="D201" s="291">
        <v>6.25</v>
      </c>
      <c r="E201" s="426">
        <f t="shared" si="23"/>
        <v>150</v>
      </c>
      <c r="F201" s="416"/>
      <c r="G201" s="427">
        <f t="shared" si="24"/>
        <v>0</v>
      </c>
      <c r="H201" s="418">
        <f t="shared" si="25"/>
        <v>150</v>
      </c>
      <c r="I201" s="206"/>
      <c r="J201" s="206"/>
      <c r="K201" s="206">
        <f t="shared" si="26"/>
        <v>150</v>
      </c>
      <c r="L201" s="206">
        <f t="shared" si="27"/>
        <v>150</v>
      </c>
    </row>
    <row r="202" spans="1:12" s="141" customFormat="1" ht="24" customHeight="1">
      <c r="A202" s="285" t="s">
        <v>342</v>
      </c>
      <c r="B202" s="283" t="s">
        <v>341</v>
      </c>
      <c r="C202" s="296">
        <v>24</v>
      </c>
      <c r="D202" s="291">
        <v>7.25</v>
      </c>
      <c r="E202" s="426">
        <f t="shared" si="23"/>
        <v>174</v>
      </c>
      <c r="F202" s="416"/>
      <c r="G202" s="427">
        <f t="shared" si="24"/>
        <v>0</v>
      </c>
      <c r="H202" s="418">
        <f t="shared" si="25"/>
        <v>174</v>
      </c>
      <c r="I202" s="206"/>
      <c r="J202" s="206"/>
      <c r="K202" s="206">
        <f t="shared" si="26"/>
        <v>174</v>
      </c>
      <c r="L202" s="206">
        <f t="shared" si="27"/>
        <v>174</v>
      </c>
    </row>
    <row r="203" spans="1:12" s="141" customFormat="1" ht="24" customHeight="1">
      <c r="A203" s="285" t="s">
        <v>343</v>
      </c>
      <c r="B203" s="283" t="s">
        <v>128</v>
      </c>
      <c r="C203" s="296">
        <v>48</v>
      </c>
      <c r="D203" s="291">
        <v>20</v>
      </c>
      <c r="E203" s="426">
        <f t="shared" si="23"/>
        <v>960</v>
      </c>
      <c r="F203" s="416"/>
      <c r="G203" s="427">
        <f t="shared" si="24"/>
        <v>0</v>
      </c>
      <c r="H203" s="418">
        <f t="shared" si="25"/>
        <v>960</v>
      </c>
      <c r="I203" s="206"/>
      <c r="J203" s="206"/>
      <c r="K203" s="206">
        <f t="shared" si="26"/>
        <v>960</v>
      </c>
      <c r="L203" s="206">
        <f t="shared" si="27"/>
        <v>960</v>
      </c>
    </row>
    <row r="204" spans="1:12" s="141" customFormat="1" ht="24" customHeight="1">
      <c r="A204" s="285" t="s">
        <v>344</v>
      </c>
      <c r="B204" s="282" t="s">
        <v>128</v>
      </c>
      <c r="C204" s="293">
        <v>48</v>
      </c>
      <c r="D204" s="292">
        <v>15</v>
      </c>
      <c r="E204" s="426">
        <f t="shared" si="23"/>
        <v>720</v>
      </c>
      <c r="F204" s="416"/>
      <c r="G204" s="427">
        <f t="shared" si="24"/>
        <v>0</v>
      </c>
      <c r="H204" s="418">
        <f t="shared" si="25"/>
        <v>720</v>
      </c>
      <c r="I204" s="206"/>
      <c r="J204" s="206"/>
      <c r="K204" s="206">
        <f t="shared" si="26"/>
        <v>720</v>
      </c>
      <c r="L204" s="206">
        <f t="shared" si="27"/>
        <v>720</v>
      </c>
    </row>
    <row r="205" spans="1:12" s="141" customFormat="1" ht="24" customHeight="1">
      <c r="A205" s="285" t="s">
        <v>345</v>
      </c>
      <c r="B205" s="283" t="s">
        <v>346</v>
      </c>
      <c r="C205" s="296">
        <v>37</v>
      </c>
      <c r="D205" s="291">
        <v>65</v>
      </c>
      <c r="E205" s="426">
        <f t="shared" si="23"/>
        <v>2405</v>
      </c>
      <c r="F205" s="416"/>
      <c r="G205" s="427">
        <f t="shared" si="24"/>
        <v>0</v>
      </c>
      <c r="H205" s="418">
        <f t="shared" si="25"/>
        <v>2405</v>
      </c>
      <c r="I205" s="206"/>
      <c r="J205" s="206"/>
      <c r="K205" s="206">
        <f t="shared" si="26"/>
        <v>2405</v>
      </c>
      <c r="L205" s="206">
        <f t="shared" si="27"/>
        <v>2405</v>
      </c>
    </row>
    <row r="206" spans="1:12" s="141" customFormat="1" ht="24" customHeight="1">
      <c r="A206" s="285" t="s">
        <v>347</v>
      </c>
      <c r="B206" s="283" t="s">
        <v>346</v>
      </c>
      <c r="C206" s="296">
        <v>37</v>
      </c>
      <c r="D206" s="291">
        <v>65</v>
      </c>
      <c r="E206" s="426">
        <f t="shared" si="23"/>
        <v>2405</v>
      </c>
      <c r="F206" s="416"/>
      <c r="G206" s="427">
        <f t="shared" si="24"/>
        <v>0</v>
      </c>
      <c r="H206" s="418">
        <f t="shared" si="25"/>
        <v>2405</v>
      </c>
      <c r="I206" s="206"/>
      <c r="J206" s="206"/>
      <c r="K206" s="206">
        <f t="shared" si="26"/>
        <v>2405</v>
      </c>
      <c r="L206" s="206">
        <f t="shared" si="27"/>
        <v>2405</v>
      </c>
    </row>
    <row r="207" spans="1:12" s="141" customFormat="1" ht="24" customHeight="1">
      <c r="A207" s="285" t="s">
        <v>348</v>
      </c>
      <c r="B207" s="283" t="s">
        <v>128</v>
      </c>
      <c r="C207" s="296">
        <v>1</v>
      </c>
      <c r="D207" s="291">
        <v>7200</v>
      </c>
      <c r="E207" s="426">
        <f t="shared" si="23"/>
        <v>7200</v>
      </c>
      <c r="F207" s="416"/>
      <c r="G207" s="427">
        <f t="shared" si="24"/>
        <v>0</v>
      </c>
      <c r="H207" s="418">
        <f t="shared" si="25"/>
        <v>7200</v>
      </c>
      <c r="I207" s="206"/>
      <c r="J207" s="206"/>
      <c r="K207" s="206">
        <f t="shared" si="26"/>
        <v>7200</v>
      </c>
      <c r="L207" s="206">
        <f t="shared" si="27"/>
        <v>7200</v>
      </c>
    </row>
    <row r="208" spans="1:12" s="141" customFormat="1" ht="24" customHeight="1">
      <c r="A208" s="285" t="s">
        <v>349</v>
      </c>
      <c r="B208" s="283" t="s">
        <v>128</v>
      </c>
      <c r="C208" s="296">
        <v>2</v>
      </c>
      <c r="D208" s="291">
        <v>230</v>
      </c>
      <c r="E208" s="426">
        <f t="shared" si="23"/>
        <v>460</v>
      </c>
      <c r="F208" s="416"/>
      <c r="G208" s="427">
        <f t="shared" si="24"/>
        <v>0</v>
      </c>
      <c r="H208" s="418">
        <f t="shared" si="25"/>
        <v>460</v>
      </c>
      <c r="I208" s="206"/>
      <c r="J208" s="206"/>
      <c r="K208" s="206">
        <f t="shared" si="26"/>
        <v>460</v>
      </c>
      <c r="L208" s="206">
        <f t="shared" si="27"/>
        <v>460</v>
      </c>
    </row>
    <row r="209" spans="1:12" s="141" customFormat="1" ht="24" customHeight="1">
      <c r="A209" s="285" t="s">
        <v>350</v>
      </c>
      <c r="B209" s="283" t="s">
        <v>346</v>
      </c>
      <c r="C209" s="296">
        <v>1</v>
      </c>
      <c r="D209" s="291">
        <v>500</v>
      </c>
      <c r="E209" s="426">
        <f t="shared" si="23"/>
        <v>500</v>
      </c>
      <c r="F209" s="416"/>
      <c r="G209" s="427">
        <f t="shared" si="24"/>
        <v>0</v>
      </c>
      <c r="H209" s="418">
        <f t="shared" si="25"/>
        <v>500</v>
      </c>
      <c r="I209" s="206"/>
      <c r="J209" s="206"/>
      <c r="K209" s="206">
        <f t="shared" si="26"/>
        <v>500</v>
      </c>
      <c r="L209" s="206">
        <f t="shared" si="27"/>
        <v>500</v>
      </c>
    </row>
    <row r="210" spans="1:12" s="141" customFormat="1" ht="24" customHeight="1">
      <c r="A210" s="285" t="s">
        <v>351</v>
      </c>
      <c r="B210" s="283" t="s">
        <v>128</v>
      </c>
      <c r="C210" s="294">
        <v>48</v>
      </c>
      <c r="D210" s="297">
        <v>5.5</v>
      </c>
      <c r="E210" s="426">
        <f t="shared" si="23"/>
        <v>264</v>
      </c>
      <c r="F210" s="416"/>
      <c r="G210" s="427">
        <f t="shared" si="24"/>
        <v>0</v>
      </c>
      <c r="H210" s="418">
        <f t="shared" si="25"/>
        <v>264</v>
      </c>
      <c r="I210" s="206"/>
      <c r="J210" s="206"/>
      <c r="K210" s="206">
        <f t="shared" si="26"/>
        <v>264</v>
      </c>
      <c r="L210" s="206">
        <f t="shared" si="27"/>
        <v>264</v>
      </c>
    </row>
    <row r="211" spans="1:12" s="141" customFormat="1" ht="24" customHeight="1">
      <c r="A211" s="301" t="s">
        <v>352</v>
      </c>
      <c r="B211" s="428"/>
      <c r="C211" s="302"/>
      <c r="D211" s="303"/>
      <c r="E211" s="426">
        <f t="shared" si="23"/>
        <v>0</v>
      </c>
      <c r="F211" s="416"/>
      <c r="G211" s="427">
        <f t="shared" si="24"/>
        <v>0</v>
      </c>
      <c r="H211" s="418">
        <f t="shared" si="25"/>
        <v>0</v>
      </c>
      <c r="I211" s="206"/>
      <c r="J211" s="206"/>
      <c r="K211" s="206">
        <f t="shared" si="26"/>
        <v>0</v>
      </c>
      <c r="L211" s="206">
        <f t="shared" si="27"/>
        <v>0</v>
      </c>
    </row>
    <row r="212" spans="1:12" s="141" customFormat="1" ht="24" customHeight="1">
      <c r="A212" s="285" t="s">
        <v>353</v>
      </c>
      <c r="B212" s="283" t="s">
        <v>128</v>
      </c>
      <c r="C212" s="294">
        <v>8</v>
      </c>
      <c r="D212" s="297">
        <v>150</v>
      </c>
      <c r="E212" s="426">
        <f t="shared" si="23"/>
        <v>1200</v>
      </c>
      <c r="F212" s="416"/>
      <c r="G212" s="427">
        <f t="shared" si="24"/>
        <v>0</v>
      </c>
      <c r="H212" s="418">
        <f t="shared" si="25"/>
        <v>1200</v>
      </c>
      <c r="I212" s="206"/>
      <c r="J212" s="206"/>
      <c r="K212" s="206">
        <f t="shared" si="26"/>
        <v>1200</v>
      </c>
      <c r="L212" s="206">
        <f t="shared" si="27"/>
        <v>1200</v>
      </c>
    </row>
    <row r="213" spans="1:12" s="141" customFormat="1" ht="24" customHeight="1">
      <c r="A213" s="298" t="s">
        <v>354</v>
      </c>
      <c r="B213" s="299" t="s">
        <v>128</v>
      </c>
      <c r="C213" s="294">
        <v>30</v>
      </c>
      <c r="D213" s="295">
        <v>50</v>
      </c>
      <c r="E213" s="426">
        <f t="shared" si="23"/>
        <v>1500</v>
      </c>
      <c r="F213" s="416"/>
      <c r="G213" s="427">
        <f t="shared" si="24"/>
        <v>0</v>
      </c>
      <c r="H213" s="418">
        <f t="shared" si="25"/>
        <v>1500</v>
      </c>
      <c r="I213" s="206"/>
      <c r="J213" s="206"/>
      <c r="K213" s="206">
        <f t="shared" si="26"/>
        <v>1500</v>
      </c>
      <c r="L213" s="206">
        <f t="shared" si="27"/>
        <v>1500</v>
      </c>
    </row>
    <row r="214" spans="1:12" s="141" customFormat="1" ht="24" customHeight="1">
      <c r="A214" s="300" t="s">
        <v>355</v>
      </c>
      <c r="B214" s="299" t="s">
        <v>128</v>
      </c>
      <c r="C214" s="294">
        <v>1</v>
      </c>
      <c r="D214" s="295">
        <v>1500</v>
      </c>
      <c r="E214" s="426">
        <f t="shared" si="23"/>
        <v>1500</v>
      </c>
      <c r="F214" s="416"/>
      <c r="G214" s="427">
        <f t="shared" si="24"/>
        <v>0</v>
      </c>
      <c r="H214" s="418">
        <f t="shared" si="25"/>
        <v>1500</v>
      </c>
      <c r="I214" s="206"/>
      <c r="J214" s="206"/>
      <c r="K214" s="206">
        <f t="shared" si="26"/>
        <v>1500</v>
      </c>
      <c r="L214" s="206">
        <f t="shared" si="27"/>
        <v>1500</v>
      </c>
    </row>
    <row r="215" spans="1:12" s="141" customFormat="1" ht="24" customHeight="1">
      <c r="A215" s="285" t="s">
        <v>356</v>
      </c>
      <c r="B215" s="286" t="s">
        <v>128</v>
      </c>
      <c r="C215" s="290">
        <v>15</v>
      </c>
      <c r="D215" s="284">
        <v>30</v>
      </c>
      <c r="E215" s="426">
        <f t="shared" si="23"/>
        <v>450</v>
      </c>
      <c r="F215" s="416"/>
      <c r="G215" s="427">
        <f t="shared" si="24"/>
        <v>0</v>
      </c>
      <c r="H215" s="418">
        <f t="shared" si="25"/>
        <v>450</v>
      </c>
      <c r="I215" s="206"/>
      <c r="J215" s="206"/>
      <c r="K215" s="206">
        <f t="shared" si="26"/>
        <v>450</v>
      </c>
      <c r="L215" s="206">
        <f t="shared" si="27"/>
        <v>450</v>
      </c>
    </row>
    <row r="216" spans="1:12" s="141" customFormat="1" ht="24" customHeight="1">
      <c r="A216" s="285" t="s">
        <v>357</v>
      </c>
      <c r="B216" s="282" t="s">
        <v>128</v>
      </c>
      <c r="C216" s="293">
        <v>2</v>
      </c>
      <c r="D216" s="295">
        <v>510</v>
      </c>
      <c r="E216" s="426">
        <f t="shared" si="23"/>
        <v>1020</v>
      </c>
      <c r="F216" s="416"/>
      <c r="G216" s="427">
        <f t="shared" si="24"/>
        <v>0</v>
      </c>
      <c r="H216" s="418">
        <f t="shared" si="25"/>
        <v>1020</v>
      </c>
      <c r="I216" s="206"/>
      <c r="J216" s="206"/>
      <c r="K216" s="206">
        <f t="shared" si="26"/>
        <v>1020</v>
      </c>
      <c r="L216" s="206">
        <f t="shared" si="27"/>
        <v>1020</v>
      </c>
    </row>
    <row r="217" spans="1:12" s="141" customFormat="1" ht="24" customHeight="1">
      <c r="A217" s="301" t="s">
        <v>358</v>
      </c>
      <c r="B217" s="428"/>
      <c r="C217" s="302"/>
      <c r="D217" s="303"/>
      <c r="E217" s="426">
        <f t="shared" si="23"/>
        <v>0</v>
      </c>
      <c r="F217" s="416"/>
      <c r="G217" s="427">
        <f t="shared" si="24"/>
        <v>0</v>
      </c>
      <c r="H217" s="418">
        <f t="shared" si="25"/>
        <v>0</v>
      </c>
      <c r="I217" s="206"/>
      <c r="J217" s="206"/>
      <c r="K217" s="206">
        <f t="shared" si="26"/>
        <v>0</v>
      </c>
      <c r="L217" s="206">
        <f t="shared" si="27"/>
        <v>0</v>
      </c>
    </row>
    <row r="218" spans="1:12" s="141" customFormat="1" ht="24" customHeight="1">
      <c r="A218" s="285" t="s">
        <v>359</v>
      </c>
      <c r="B218" s="283" t="s">
        <v>128</v>
      </c>
      <c r="C218" s="294">
        <v>1</v>
      </c>
      <c r="D218" s="297">
        <v>1650</v>
      </c>
      <c r="E218" s="426">
        <f t="shared" si="23"/>
        <v>1650</v>
      </c>
      <c r="F218" s="416"/>
      <c r="G218" s="427">
        <f t="shared" si="24"/>
        <v>0</v>
      </c>
      <c r="H218" s="418">
        <f t="shared" si="25"/>
        <v>1650</v>
      </c>
      <c r="I218" s="206"/>
      <c r="J218" s="206"/>
      <c r="K218" s="206">
        <f t="shared" si="26"/>
        <v>1650</v>
      </c>
      <c r="L218" s="206">
        <f t="shared" si="27"/>
        <v>1650</v>
      </c>
    </row>
    <row r="219" spans="1:12" s="141" customFormat="1" ht="24" customHeight="1">
      <c r="A219" s="285" t="s">
        <v>360</v>
      </c>
      <c r="B219" s="283" t="s">
        <v>128</v>
      </c>
      <c r="C219" s="294">
        <v>1</v>
      </c>
      <c r="D219" s="297">
        <v>850</v>
      </c>
      <c r="E219" s="426">
        <f t="shared" ref="E219:E222" si="28">C219*D219</f>
        <v>850</v>
      </c>
      <c r="F219" s="416"/>
      <c r="G219" s="427">
        <f t="shared" ref="G219:G222" si="29">+F219*E219</f>
        <v>0</v>
      </c>
      <c r="H219" s="418">
        <f t="shared" ref="H219:H222" si="30">ROUND(+G219+E219,2)</f>
        <v>850</v>
      </c>
      <c r="I219" s="206"/>
      <c r="J219" s="206"/>
      <c r="K219" s="206">
        <f t="shared" ref="K219:K222" si="31">H219</f>
        <v>850</v>
      </c>
      <c r="L219" s="206">
        <f t="shared" ref="L219:L222" si="32">+I219+J219+K219</f>
        <v>850</v>
      </c>
    </row>
    <row r="220" spans="1:12" s="141" customFormat="1" ht="24" customHeight="1">
      <c r="A220" s="301" t="s">
        <v>429</v>
      </c>
      <c r="B220" s="283"/>
      <c r="C220" s="294"/>
      <c r="D220" s="297"/>
      <c r="E220" s="426"/>
      <c r="F220" s="416"/>
      <c r="G220" s="427"/>
      <c r="H220" s="418"/>
      <c r="I220" s="206"/>
      <c r="J220" s="206"/>
      <c r="K220" s="206"/>
      <c r="L220" s="206"/>
    </row>
    <row r="221" spans="1:12" s="141" customFormat="1" ht="24" customHeight="1">
      <c r="A221" s="285" t="s">
        <v>436</v>
      </c>
      <c r="B221" s="283" t="s">
        <v>128</v>
      </c>
      <c r="C221" s="294">
        <v>1</v>
      </c>
      <c r="D221" s="297">
        <v>710.43</v>
      </c>
      <c r="E221" s="426">
        <f t="shared" si="28"/>
        <v>710.43</v>
      </c>
      <c r="F221" s="416">
        <v>0.15</v>
      </c>
      <c r="G221" s="427">
        <f t="shared" si="29"/>
        <v>106.5645</v>
      </c>
      <c r="H221" s="418">
        <f t="shared" si="30"/>
        <v>816.99</v>
      </c>
      <c r="I221" s="206"/>
      <c r="J221" s="206"/>
      <c r="K221" s="206">
        <f t="shared" si="31"/>
        <v>816.99</v>
      </c>
      <c r="L221" s="206">
        <f t="shared" si="32"/>
        <v>816.99</v>
      </c>
    </row>
    <row r="222" spans="1:12" s="141" customFormat="1" ht="24" customHeight="1">
      <c r="A222" s="285" t="s">
        <v>435</v>
      </c>
      <c r="B222" s="283" t="s">
        <v>128</v>
      </c>
      <c r="C222" s="294">
        <v>1</v>
      </c>
      <c r="D222" s="297">
        <v>1053.9100000000001</v>
      </c>
      <c r="E222" s="426">
        <f t="shared" si="28"/>
        <v>1053.9100000000001</v>
      </c>
      <c r="F222" s="416">
        <v>0.15</v>
      </c>
      <c r="G222" s="427">
        <f t="shared" si="29"/>
        <v>158.0865</v>
      </c>
      <c r="H222" s="418">
        <f t="shared" si="30"/>
        <v>1212</v>
      </c>
      <c r="I222" s="206"/>
      <c r="J222" s="206"/>
      <c r="K222" s="206">
        <f t="shared" si="31"/>
        <v>1212</v>
      </c>
      <c r="L222" s="206">
        <f t="shared" si="32"/>
        <v>1212</v>
      </c>
    </row>
    <row r="223" spans="1:12" s="141" customFormat="1" ht="24" customHeight="1">
      <c r="A223" s="301" t="s">
        <v>443</v>
      </c>
      <c r="B223" s="283"/>
      <c r="C223" s="294"/>
      <c r="D223" s="297"/>
      <c r="E223" s="426"/>
      <c r="F223" s="416"/>
      <c r="G223" s="427"/>
      <c r="H223" s="418"/>
      <c r="I223" s="206"/>
      <c r="J223" s="206"/>
      <c r="K223" s="206"/>
      <c r="L223" s="206"/>
    </row>
    <row r="224" spans="1:12" s="141" customFormat="1" ht="33" customHeight="1">
      <c r="A224" s="285" t="s">
        <v>444</v>
      </c>
      <c r="B224" s="283" t="s">
        <v>128</v>
      </c>
      <c r="C224" s="294">
        <v>1</v>
      </c>
      <c r="D224" s="297"/>
      <c r="E224" s="426"/>
      <c r="F224" s="416"/>
      <c r="G224" s="427"/>
      <c r="H224" s="418"/>
      <c r="I224" s="206"/>
      <c r="J224" s="206"/>
      <c r="K224" s="206"/>
      <c r="L224" s="206"/>
    </row>
    <row r="225" spans="1:12" s="141" customFormat="1" ht="24" customHeight="1">
      <c r="A225" s="285"/>
      <c r="B225" s="283"/>
      <c r="C225" s="294"/>
      <c r="D225" s="297"/>
      <c r="E225" s="426"/>
      <c r="F225" s="416"/>
      <c r="G225" s="427"/>
      <c r="H225" s="418"/>
      <c r="I225" s="206"/>
      <c r="J225" s="206"/>
      <c r="K225" s="206"/>
      <c r="L225" s="206"/>
    </row>
    <row r="226" spans="1:12" s="141" customFormat="1" ht="24" customHeight="1">
      <c r="A226" s="449" t="s">
        <v>83</v>
      </c>
      <c r="B226" s="449"/>
      <c r="C226" s="449"/>
      <c r="D226" s="449"/>
      <c r="E226" s="424">
        <f>SUM(E154:E222)</f>
        <v>69849.899999999994</v>
      </c>
      <c r="F226" s="424"/>
      <c r="G226" s="424">
        <f>SUM(G154:G222)</f>
        <v>264.65100000000001</v>
      </c>
      <c r="H226" s="424">
        <f>SUM(H154:H222)</f>
        <v>70114.55</v>
      </c>
      <c r="I226" s="424"/>
      <c r="J226" s="424"/>
      <c r="K226" s="424">
        <f t="shared" ref="K226" si="33">H226</f>
        <v>70114.55</v>
      </c>
      <c r="L226" s="424">
        <f t="shared" si="22"/>
        <v>70114.55</v>
      </c>
    </row>
    <row r="227" spans="1:12" s="145" customFormat="1" ht="27.75" customHeight="1">
      <c r="A227" s="450" t="s">
        <v>103</v>
      </c>
      <c r="B227" s="450"/>
      <c r="C227" s="450"/>
      <c r="D227" s="450"/>
      <c r="E227" s="429">
        <f>SUM(E23+E141+E152+E226)</f>
        <v>252425.18999999992</v>
      </c>
      <c r="F227" s="429"/>
      <c r="G227" s="429">
        <f>SUM(G23+G141+G152+G226)</f>
        <v>1941.0454999999999</v>
      </c>
      <c r="H227" s="429">
        <f>SUM(H23+H141+H152+H226)</f>
        <v>254366.23449999996</v>
      </c>
      <c r="I227" s="429"/>
      <c r="J227" s="429"/>
      <c r="K227" s="429">
        <f>H227</f>
        <v>254366.23449999996</v>
      </c>
      <c r="L227" s="429">
        <f>H227</f>
        <v>254366.23449999996</v>
      </c>
    </row>
    <row r="228" spans="1:12" ht="30" customHeight="1">
      <c r="A228" s="448" t="s">
        <v>91</v>
      </c>
      <c r="B228" s="448"/>
      <c r="C228" s="448"/>
      <c r="D228" s="448"/>
      <c r="E228" s="448"/>
      <c r="F228" s="448"/>
      <c r="G228" s="448"/>
      <c r="H228" s="448"/>
      <c r="I228" s="448"/>
      <c r="J228" s="448"/>
      <c r="K228" s="448"/>
      <c r="L228" s="448"/>
    </row>
    <row r="229" spans="1:12" s="141" customFormat="1" ht="36" customHeight="1">
      <c r="A229" s="430" t="s">
        <v>94</v>
      </c>
      <c r="B229" s="431" t="s">
        <v>95</v>
      </c>
      <c r="C229" s="431">
        <v>25</v>
      </c>
      <c r="D229" s="432">
        <v>12.65</v>
      </c>
      <c r="E229" s="426">
        <f>ROUND(C229*D229,2)</f>
        <v>316.25</v>
      </c>
      <c r="F229" s="416">
        <v>0</v>
      </c>
      <c r="G229" s="427">
        <f>+F229*E229</f>
        <v>0</v>
      </c>
      <c r="H229" s="427">
        <f>ROUND(+G229+E229,2)</f>
        <v>316.25</v>
      </c>
      <c r="I229" s="206">
        <f>H229</f>
        <v>316.25</v>
      </c>
      <c r="J229" s="206"/>
      <c r="K229" s="206"/>
      <c r="L229" s="206">
        <f>SUM(I229:K229)</f>
        <v>316.25</v>
      </c>
    </row>
    <row r="230" spans="1:12" s="141" customFormat="1" ht="36" customHeight="1">
      <c r="A230" s="430" t="s">
        <v>100</v>
      </c>
      <c r="B230" s="433" t="s">
        <v>101</v>
      </c>
      <c r="C230" s="431">
        <v>1</v>
      </c>
      <c r="D230" s="432">
        <v>2000</v>
      </c>
      <c r="E230" s="426">
        <f>ROUND(C230*D230,2)</f>
        <v>2000</v>
      </c>
      <c r="F230" s="416">
        <v>0.15</v>
      </c>
      <c r="G230" s="427">
        <f>+F230*E230</f>
        <v>300</v>
      </c>
      <c r="H230" s="427">
        <f>ROUND(+G230+E230,2)</f>
        <v>2300</v>
      </c>
      <c r="I230" s="206">
        <f>H230</f>
        <v>2300</v>
      </c>
      <c r="J230" s="434"/>
      <c r="K230" s="434"/>
      <c r="L230" s="206">
        <f>SUM(I230:K230)</f>
        <v>2300</v>
      </c>
    </row>
    <row r="231" spans="1:12" ht="29.25" customHeight="1">
      <c r="A231" s="444" t="s">
        <v>98</v>
      </c>
      <c r="B231" s="444"/>
      <c r="C231" s="444"/>
      <c r="D231" s="444"/>
      <c r="E231" s="429">
        <f t="shared" ref="E231:G231" si="34">SUM(E229:E230)</f>
        <v>2316.25</v>
      </c>
      <c r="F231" s="429"/>
      <c r="G231" s="429">
        <f t="shared" si="34"/>
        <v>300</v>
      </c>
      <c r="H231" s="429">
        <f>SUM(H229:H230)</f>
        <v>2616.25</v>
      </c>
      <c r="I231" s="429">
        <f>SUM(I229:I230)</f>
        <v>2616.25</v>
      </c>
      <c r="J231" s="435"/>
      <c r="K231" s="435"/>
      <c r="L231" s="435">
        <f>SUM(L229:L230)</f>
        <v>2616.25</v>
      </c>
    </row>
    <row r="232" spans="1:12">
      <c r="A232" s="448" t="s">
        <v>93</v>
      </c>
      <c r="B232" s="448"/>
      <c r="C232" s="448"/>
      <c r="D232" s="448"/>
      <c r="E232" s="448"/>
      <c r="F232" s="448"/>
      <c r="G232" s="448"/>
      <c r="H232" s="448"/>
      <c r="I232" s="448"/>
      <c r="J232" s="448"/>
      <c r="K232" s="448"/>
      <c r="L232" s="448"/>
    </row>
    <row r="233" spans="1:12" s="141" customFormat="1" ht="36" customHeight="1">
      <c r="A233" s="430" t="s">
        <v>96</v>
      </c>
      <c r="B233" s="431" t="s">
        <v>101</v>
      </c>
      <c r="C233" s="431">
        <v>1</v>
      </c>
      <c r="D233" s="432">
        <v>8000</v>
      </c>
      <c r="E233" s="426">
        <f>ROUND(C233*D233,2)</f>
        <v>8000</v>
      </c>
      <c r="F233" s="416">
        <v>0.15</v>
      </c>
      <c r="G233" s="427">
        <f>+F233*E233</f>
        <v>1200</v>
      </c>
      <c r="H233" s="427">
        <f>ROUND(+G233+E233,2)</f>
        <v>9200</v>
      </c>
      <c r="I233" s="206"/>
      <c r="J233" s="206">
        <f>H233</f>
        <v>9200</v>
      </c>
      <c r="K233" s="206"/>
      <c r="L233" s="206">
        <f>SUM(I233:K233)</f>
        <v>9200</v>
      </c>
    </row>
    <row r="234" spans="1:12" s="141" customFormat="1" ht="36" customHeight="1">
      <c r="A234" s="430" t="s">
        <v>102</v>
      </c>
      <c r="B234" s="431" t="s">
        <v>101</v>
      </c>
      <c r="C234" s="431">
        <v>1</v>
      </c>
      <c r="D234" s="432">
        <v>3000</v>
      </c>
      <c r="E234" s="426">
        <f>ROUND(C234*D234,2)</f>
        <v>3000</v>
      </c>
      <c r="F234" s="416">
        <v>0.15</v>
      </c>
      <c r="G234" s="427">
        <f>+F234*E234</f>
        <v>450</v>
      </c>
      <c r="H234" s="427">
        <f>ROUND(+G234+E234,2)</f>
        <v>3450</v>
      </c>
      <c r="I234" s="206"/>
      <c r="J234" s="206">
        <f>H234</f>
        <v>3450</v>
      </c>
      <c r="K234" s="206"/>
      <c r="L234" s="206">
        <f>SUM(I234:K234)</f>
        <v>3450</v>
      </c>
    </row>
    <row r="235" spans="1:12" ht="29.25" customHeight="1">
      <c r="A235" s="444" t="s">
        <v>104</v>
      </c>
      <c r="B235" s="444"/>
      <c r="C235" s="444"/>
      <c r="D235" s="444"/>
      <c r="E235" s="429">
        <f t="shared" ref="E235:G235" si="35">SUM(E233:E234)</f>
        <v>11000</v>
      </c>
      <c r="F235" s="429"/>
      <c r="G235" s="429">
        <f t="shared" si="35"/>
        <v>1650</v>
      </c>
      <c r="H235" s="429">
        <f>SUM(H233:H234)</f>
        <v>12650</v>
      </c>
      <c r="I235" s="435"/>
      <c r="J235" s="429">
        <f>SUM(J233:J234)</f>
        <v>12650</v>
      </c>
      <c r="K235" s="435"/>
      <c r="L235" s="435">
        <f>SUM(L233:L234)</f>
        <v>12650</v>
      </c>
    </row>
    <row r="236" spans="1:12" ht="33" customHeight="1">
      <c r="A236" s="445" t="s">
        <v>84</v>
      </c>
      <c r="B236" s="445"/>
      <c r="C236" s="445"/>
      <c r="D236" s="445"/>
      <c r="E236" s="436">
        <f t="shared" ref="E236:G236" si="36">SUM(E227+E231+E235)</f>
        <v>265741.43999999994</v>
      </c>
      <c r="F236" s="436">
        <f t="shared" si="36"/>
        <v>0</v>
      </c>
      <c r="G236" s="436">
        <f t="shared" si="36"/>
        <v>3891.0455000000002</v>
      </c>
      <c r="H236" s="436">
        <f>SUM(H227+H231+H235)</f>
        <v>269632.48449999996</v>
      </c>
      <c r="I236" s="436"/>
      <c r="J236" s="436"/>
      <c r="K236" s="436"/>
      <c r="L236" s="436">
        <f>SUM(L227+L231+L235)</f>
        <v>269632.48449999996</v>
      </c>
    </row>
    <row r="237" spans="1:12">
      <c r="A237" s="29"/>
      <c r="B237" s="200"/>
      <c r="C237" s="200"/>
      <c r="D237" s="200"/>
      <c r="E237" s="133"/>
      <c r="F237" s="29"/>
      <c r="G237" s="29"/>
      <c r="H237" s="29"/>
      <c r="I237" s="29"/>
      <c r="J237" s="29"/>
      <c r="K237" s="29"/>
      <c r="L237" s="29"/>
    </row>
    <row r="238" spans="1:12">
      <c r="A238" s="29"/>
      <c r="B238" s="200"/>
      <c r="C238" s="200"/>
      <c r="D238" s="200"/>
      <c r="E238" s="133"/>
      <c r="F238" s="29"/>
      <c r="G238" s="29"/>
      <c r="H238" s="29"/>
      <c r="I238" s="29"/>
      <c r="J238" s="29"/>
      <c r="K238" s="29"/>
      <c r="L238" s="29"/>
    </row>
    <row r="239" spans="1:12">
      <c r="A239" s="29"/>
      <c r="B239" s="200"/>
      <c r="C239" s="200"/>
      <c r="D239" s="200"/>
      <c r="E239" s="133"/>
      <c r="F239" s="29"/>
      <c r="G239" s="29"/>
      <c r="H239" s="29"/>
      <c r="I239" s="29"/>
      <c r="J239" s="29"/>
      <c r="K239" s="29"/>
      <c r="L239" s="29"/>
    </row>
    <row r="240" spans="1:12">
      <c r="A240" s="29"/>
      <c r="B240" s="200"/>
      <c r="C240" s="200"/>
      <c r="D240" s="200"/>
      <c r="E240" s="133"/>
      <c r="F240" s="29"/>
      <c r="G240" s="29"/>
      <c r="H240" s="29"/>
      <c r="I240" s="29"/>
      <c r="J240" s="29"/>
      <c r="K240" s="29"/>
      <c r="L240" s="29"/>
    </row>
    <row r="241" spans="1:12">
      <c r="A241" s="29"/>
      <c r="B241" s="200"/>
      <c r="C241" s="200"/>
      <c r="D241" s="200"/>
      <c r="E241" s="133"/>
      <c r="F241" s="29"/>
      <c r="G241" s="29"/>
      <c r="H241" s="29"/>
      <c r="I241" s="29"/>
      <c r="J241" s="29"/>
      <c r="K241" s="29"/>
      <c r="L241" s="29"/>
    </row>
    <row r="242" spans="1:12">
      <c r="A242" s="29"/>
      <c r="B242" s="200"/>
      <c r="C242" s="200"/>
      <c r="D242" s="200"/>
      <c r="E242" s="133"/>
      <c r="F242" s="29"/>
      <c r="G242" s="29"/>
      <c r="H242" s="29"/>
      <c r="I242" s="29"/>
      <c r="J242" s="29"/>
      <c r="K242" s="29"/>
      <c r="L242" s="29"/>
    </row>
    <row r="243" spans="1:12">
      <c r="A243" s="29"/>
      <c r="B243" s="200"/>
      <c r="C243" s="200"/>
      <c r="D243" s="200"/>
      <c r="E243" s="133"/>
      <c r="F243" s="29"/>
      <c r="G243" s="29"/>
      <c r="H243" s="29"/>
      <c r="I243" s="29"/>
      <c r="J243" s="29"/>
      <c r="K243" s="29"/>
      <c r="L243" s="29"/>
    </row>
    <row r="244" spans="1:12">
      <c r="A244" s="29"/>
      <c r="B244" s="200"/>
      <c r="C244" s="200"/>
      <c r="D244" s="200"/>
      <c r="E244" s="133"/>
      <c r="F244" s="29"/>
      <c r="G244" s="29"/>
      <c r="H244" s="29"/>
      <c r="I244" s="29"/>
      <c r="J244" s="29"/>
      <c r="K244" s="29"/>
      <c r="L244" s="29"/>
    </row>
    <row r="245" spans="1:12">
      <c r="A245" s="29"/>
      <c r="B245" s="200"/>
      <c r="C245" s="200"/>
      <c r="D245" s="200"/>
      <c r="E245" s="133"/>
      <c r="F245" s="29"/>
      <c r="G245" s="29"/>
      <c r="H245" s="29"/>
      <c r="I245" s="29"/>
      <c r="J245" s="29"/>
      <c r="K245" s="29"/>
      <c r="L245" s="29"/>
    </row>
    <row r="246" spans="1:12">
      <c r="A246" s="29"/>
      <c r="B246" s="200"/>
      <c r="C246" s="200"/>
      <c r="D246" s="200"/>
      <c r="E246" s="133"/>
      <c r="F246" s="29"/>
      <c r="G246" s="29"/>
      <c r="H246" s="29"/>
      <c r="I246" s="29"/>
      <c r="J246" s="29"/>
      <c r="K246" s="29"/>
      <c r="L246" s="29"/>
    </row>
    <row r="247" spans="1:12">
      <c r="A247" s="29"/>
      <c r="B247" s="200"/>
      <c r="C247" s="200"/>
      <c r="D247" s="200"/>
      <c r="E247" s="133"/>
      <c r="F247" s="29"/>
      <c r="G247" s="29"/>
      <c r="H247" s="29"/>
      <c r="I247" s="29"/>
      <c r="J247" s="29"/>
      <c r="K247" s="29"/>
      <c r="L247" s="29"/>
    </row>
    <row r="248" spans="1:12">
      <c r="A248" s="29"/>
      <c r="B248" s="200"/>
      <c r="C248" s="200"/>
      <c r="D248" s="200"/>
      <c r="E248" s="133"/>
      <c r="F248" s="29"/>
      <c r="G248" s="29"/>
      <c r="H248" s="29"/>
      <c r="I248" s="29"/>
      <c r="J248" s="29"/>
      <c r="K248" s="29"/>
      <c r="L248" s="29"/>
    </row>
    <row r="249" spans="1:12">
      <c r="A249" s="29"/>
      <c r="B249" s="200"/>
      <c r="C249" s="200"/>
      <c r="D249" s="200"/>
      <c r="E249" s="133"/>
      <c r="F249" s="29"/>
      <c r="G249" s="29"/>
      <c r="H249" s="29"/>
      <c r="I249" s="29"/>
      <c r="J249" s="29"/>
      <c r="K249" s="29"/>
      <c r="L249" s="29"/>
    </row>
    <row r="250" spans="1:12">
      <c r="A250" s="29"/>
      <c r="B250" s="200"/>
      <c r="C250" s="200"/>
      <c r="D250" s="200"/>
      <c r="E250" s="133"/>
      <c r="F250" s="29"/>
      <c r="G250" s="29"/>
      <c r="H250" s="29"/>
      <c r="I250" s="29"/>
      <c r="J250" s="29"/>
      <c r="K250" s="29"/>
      <c r="L250" s="29"/>
    </row>
    <row r="251" spans="1:12">
      <c r="A251" s="29"/>
      <c r="B251" s="200"/>
      <c r="C251" s="200"/>
      <c r="D251" s="200"/>
      <c r="E251" s="133"/>
      <c r="F251" s="29"/>
      <c r="G251" s="29"/>
      <c r="H251" s="29"/>
      <c r="I251" s="29"/>
      <c r="J251" s="29"/>
      <c r="K251" s="29"/>
      <c r="L251" s="29"/>
    </row>
    <row r="252" spans="1:12">
      <c r="A252" s="29"/>
      <c r="B252" s="200"/>
      <c r="C252" s="200"/>
      <c r="D252" s="200"/>
      <c r="E252" s="133"/>
      <c r="F252" s="29"/>
      <c r="G252" s="29"/>
      <c r="H252" s="29"/>
      <c r="I252" s="29"/>
      <c r="J252" s="29"/>
      <c r="K252" s="29"/>
      <c r="L252" s="29"/>
    </row>
    <row r="253" spans="1:12">
      <c r="A253" s="29"/>
      <c r="B253" s="200"/>
      <c r="C253" s="200"/>
      <c r="D253" s="200"/>
      <c r="E253" s="133"/>
      <c r="F253" s="29"/>
      <c r="G253" s="29"/>
      <c r="H253" s="29"/>
      <c r="I253" s="29"/>
      <c r="J253" s="29"/>
      <c r="K253" s="29"/>
      <c r="L253" s="29"/>
    </row>
    <row r="254" spans="1:12">
      <c r="A254" s="29"/>
      <c r="B254" s="200"/>
      <c r="C254" s="200"/>
      <c r="D254" s="200"/>
      <c r="E254" s="133"/>
      <c r="F254" s="29"/>
      <c r="G254" s="29"/>
      <c r="H254" s="29"/>
      <c r="I254" s="29"/>
      <c r="J254" s="29"/>
      <c r="K254" s="29"/>
      <c r="L254" s="29"/>
    </row>
    <row r="255" spans="1:12">
      <c r="A255" s="29"/>
      <c r="B255" s="200"/>
      <c r="C255" s="200"/>
      <c r="D255" s="200"/>
      <c r="E255" s="133"/>
      <c r="F255" s="29"/>
      <c r="G255" s="29"/>
      <c r="H255" s="29"/>
      <c r="I255" s="29"/>
      <c r="J255" s="29"/>
      <c r="K255" s="29"/>
      <c r="L255" s="29"/>
    </row>
    <row r="256" spans="1:12">
      <c r="A256" s="29"/>
      <c r="B256" s="200"/>
      <c r="C256" s="200"/>
      <c r="D256" s="200"/>
      <c r="E256" s="133"/>
      <c r="F256" s="29"/>
      <c r="G256" s="29"/>
      <c r="H256" s="29"/>
      <c r="I256" s="29"/>
      <c r="J256" s="29"/>
      <c r="K256" s="29"/>
      <c r="L256" s="29"/>
    </row>
    <row r="257" spans="1:12">
      <c r="A257" s="29"/>
      <c r="B257" s="200"/>
      <c r="C257" s="200"/>
      <c r="D257" s="200"/>
      <c r="E257" s="133"/>
      <c r="F257" s="29"/>
      <c r="G257" s="29"/>
      <c r="H257" s="29"/>
      <c r="I257" s="29"/>
      <c r="J257" s="29"/>
      <c r="K257" s="29"/>
      <c r="L257" s="29"/>
    </row>
    <row r="258" spans="1:12">
      <c r="A258" s="29"/>
      <c r="B258" s="200"/>
      <c r="C258" s="200"/>
      <c r="D258" s="200"/>
      <c r="E258" s="133"/>
      <c r="F258" s="29"/>
      <c r="G258" s="29"/>
      <c r="H258" s="29"/>
      <c r="I258" s="29"/>
      <c r="J258" s="29"/>
      <c r="K258" s="29"/>
      <c r="L258" s="29"/>
    </row>
    <row r="259" spans="1:12">
      <c r="A259" s="29"/>
      <c r="B259" s="200"/>
      <c r="C259" s="200"/>
      <c r="D259" s="200"/>
      <c r="E259" s="133"/>
      <c r="F259" s="29"/>
      <c r="G259" s="29"/>
      <c r="H259" s="29"/>
      <c r="I259" s="29"/>
      <c r="J259" s="29"/>
      <c r="K259" s="29"/>
      <c r="L259" s="29"/>
    </row>
    <row r="260" spans="1:12">
      <c r="A260" s="29"/>
      <c r="B260" s="200"/>
      <c r="C260" s="200"/>
      <c r="D260" s="200"/>
      <c r="E260" s="133"/>
      <c r="F260" s="29"/>
      <c r="G260" s="29"/>
      <c r="H260" s="29"/>
      <c r="I260" s="29"/>
      <c r="J260" s="29"/>
      <c r="K260" s="29"/>
      <c r="L260" s="29"/>
    </row>
    <row r="261" spans="1:12">
      <c r="A261" s="29"/>
      <c r="B261" s="200"/>
      <c r="C261" s="200"/>
      <c r="D261" s="200"/>
      <c r="E261" s="133"/>
      <c r="F261" s="29"/>
      <c r="G261" s="29"/>
      <c r="H261" s="29"/>
      <c r="I261" s="29"/>
      <c r="J261" s="29"/>
      <c r="K261" s="29"/>
      <c r="L261" s="29"/>
    </row>
    <row r="262" spans="1:12">
      <c r="A262" s="29"/>
      <c r="B262" s="200"/>
      <c r="C262" s="200"/>
      <c r="D262" s="200"/>
      <c r="E262" s="133"/>
      <c r="F262" s="29"/>
      <c r="G262" s="29"/>
      <c r="H262" s="29"/>
      <c r="I262" s="29"/>
      <c r="J262" s="29"/>
      <c r="K262" s="29"/>
      <c r="L262" s="29"/>
    </row>
    <row r="263" spans="1:12">
      <c r="A263" s="29"/>
      <c r="B263" s="200"/>
      <c r="C263" s="200"/>
      <c r="D263" s="200"/>
      <c r="E263" s="133"/>
      <c r="F263" s="29"/>
      <c r="G263" s="29"/>
      <c r="H263" s="29"/>
      <c r="I263" s="29"/>
      <c r="J263" s="29"/>
      <c r="K263" s="29"/>
      <c r="L263" s="29"/>
    </row>
    <row r="264" spans="1:12">
      <c r="A264" s="29"/>
      <c r="B264" s="200"/>
      <c r="C264" s="200"/>
      <c r="D264" s="200"/>
      <c r="E264" s="133"/>
      <c r="F264" s="29"/>
      <c r="G264" s="29"/>
      <c r="H264" s="29"/>
      <c r="I264" s="29"/>
      <c r="J264" s="29"/>
      <c r="K264" s="29"/>
      <c r="L264" s="29"/>
    </row>
    <row r="265" spans="1:12">
      <c r="A265" s="29"/>
      <c r="B265" s="200"/>
      <c r="C265" s="200"/>
      <c r="D265" s="200"/>
      <c r="E265" s="133"/>
      <c r="F265" s="29"/>
      <c r="G265" s="29"/>
      <c r="H265" s="29"/>
      <c r="I265" s="29"/>
      <c r="J265" s="29"/>
      <c r="K265" s="29"/>
      <c r="L265" s="29"/>
    </row>
    <row r="266" spans="1:12">
      <c r="A266" s="29"/>
      <c r="B266" s="200"/>
      <c r="C266" s="200"/>
      <c r="D266" s="200"/>
      <c r="E266" s="133"/>
      <c r="F266" s="29"/>
      <c r="G266" s="29"/>
      <c r="H266" s="29"/>
      <c r="I266" s="29"/>
      <c r="J266" s="29"/>
      <c r="K266" s="29"/>
      <c r="L266" s="29"/>
    </row>
    <row r="267" spans="1:12">
      <c r="A267" s="29"/>
      <c r="B267" s="200"/>
      <c r="C267" s="200"/>
      <c r="D267" s="200"/>
      <c r="E267" s="133"/>
      <c r="F267" s="29"/>
      <c r="G267" s="29"/>
      <c r="H267" s="29"/>
      <c r="I267" s="29"/>
      <c r="J267" s="29"/>
      <c r="K267" s="29"/>
      <c r="L267" s="29"/>
    </row>
    <row r="268" spans="1:12">
      <c r="A268" s="29"/>
      <c r="B268" s="200"/>
      <c r="C268" s="200"/>
      <c r="D268" s="200"/>
      <c r="E268" s="133"/>
      <c r="F268" s="29"/>
      <c r="G268" s="29"/>
      <c r="H268" s="29"/>
      <c r="I268" s="29"/>
      <c r="J268" s="29"/>
      <c r="K268" s="29"/>
      <c r="L268" s="29"/>
    </row>
    <row r="269" spans="1:12">
      <c r="A269" s="29"/>
      <c r="B269" s="200"/>
      <c r="C269" s="200"/>
      <c r="D269" s="200"/>
      <c r="E269" s="133"/>
      <c r="F269" s="29"/>
      <c r="G269" s="29"/>
      <c r="H269" s="29"/>
      <c r="I269" s="29"/>
      <c r="J269" s="29"/>
      <c r="K269" s="29"/>
      <c r="L269" s="29"/>
    </row>
    <row r="270" spans="1:12">
      <c r="A270" s="29"/>
      <c r="B270" s="200"/>
      <c r="C270" s="200"/>
      <c r="D270" s="200"/>
      <c r="E270" s="133"/>
      <c r="F270" s="29"/>
      <c r="G270" s="29"/>
      <c r="H270" s="29"/>
      <c r="I270" s="29"/>
      <c r="J270" s="29"/>
      <c r="K270" s="29"/>
      <c r="L270" s="29"/>
    </row>
    <row r="271" spans="1:12">
      <c r="A271" s="29"/>
      <c r="B271" s="200"/>
      <c r="C271" s="200"/>
      <c r="D271" s="200"/>
      <c r="E271" s="133"/>
      <c r="F271" s="29"/>
      <c r="G271" s="29"/>
      <c r="H271" s="29"/>
      <c r="I271" s="29"/>
      <c r="J271" s="29"/>
      <c r="K271" s="29"/>
      <c r="L271" s="29"/>
    </row>
    <row r="272" spans="1:12">
      <c r="A272" s="29"/>
      <c r="B272" s="200"/>
      <c r="C272" s="200"/>
      <c r="D272" s="200"/>
      <c r="E272" s="133"/>
      <c r="F272" s="29"/>
      <c r="G272" s="29"/>
      <c r="H272" s="29"/>
      <c r="I272" s="29"/>
      <c r="J272" s="29"/>
      <c r="K272" s="29"/>
      <c r="L272" s="29"/>
    </row>
    <row r="273" spans="1:12">
      <c r="A273" s="29"/>
      <c r="B273" s="200"/>
      <c r="C273" s="200"/>
      <c r="D273" s="200"/>
      <c r="E273" s="133"/>
      <c r="F273" s="29"/>
      <c r="G273" s="29"/>
      <c r="H273" s="29"/>
      <c r="I273" s="29"/>
      <c r="J273" s="29"/>
      <c r="K273" s="29"/>
      <c r="L273" s="29"/>
    </row>
    <row r="274" spans="1:12">
      <c r="A274" s="29"/>
      <c r="B274" s="200"/>
      <c r="C274" s="200"/>
      <c r="D274" s="200"/>
      <c r="E274" s="133"/>
      <c r="F274" s="29"/>
      <c r="G274" s="29"/>
      <c r="H274" s="29"/>
      <c r="I274" s="29"/>
      <c r="J274" s="29"/>
      <c r="K274" s="29"/>
      <c r="L274" s="29"/>
    </row>
    <row r="275" spans="1:12">
      <c r="A275" s="29"/>
      <c r="B275" s="200"/>
      <c r="C275" s="200"/>
      <c r="D275" s="200"/>
      <c r="E275" s="133"/>
      <c r="F275" s="29"/>
      <c r="G275" s="29"/>
      <c r="H275" s="29"/>
      <c r="I275" s="29"/>
      <c r="J275" s="29"/>
      <c r="K275" s="29"/>
      <c r="L275" s="29"/>
    </row>
    <row r="276" spans="1:12">
      <c r="A276" s="29"/>
      <c r="B276" s="200"/>
      <c r="C276" s="200"/>
      <c r="D276" s="200"/>
      <c r="E276" s="133"/>
      <c r="F276" s="29"/>
      <c r="G276" s="29"/>
      <c r="H276" s="29"/>
      <c r="I276" s="29"/>
      <c r="J276" s="29"/>
      <c r="K276" s="29"/>
      <c r="L276" s="29"/>
    </row>
    <row r="277" spans="1:12">
      <c r="A277" s="29"/>
      <c r="B277" s="200"/>
      <c r="C277" s="200"/>
      <c r="D277" s="200"/>
      <c r="E277" s="133"/>
      <c r="F277" s="29"/>
      <c r="G277" s="29"/>
      <c r="H277" s="29"/>
      <c r="I277" s="29"/>
      <c r="J277" s="29"/>
      <c r="K277" s="29"/>
      <c r="L277" s="29"/>
    </row>
    <row r="278" spans="1:12">
      <c r="A278" s="29"/>
      <c r="B278" s="200"/>
      <c r="C278" s="200"/>
      <c r="D278" s="200"/>
      <c r="E278" s="133"/>
      <c r="F278" s="29"/>
      <c r="G278" s="29"/>
      <c r="H278" s="29"/>
      <c r="I278" s="29"/>
      <c r="J278" s="29"/>
      <c r="K278" s="29"/>
      <c r="L278" s="29"/>
    </row>
    <row r="279" spans="1:12">
      <c r="A279" s="29"/>
      <c r="B279" s="200"/>
      <c r="C279" s="200"/>
      <c r="D279" s="200"/>
      <c r="E279" s="133"/>
      <c r="F279" s="29"/>
      <c r="G279" s="29"/>
      <c r="H279" s="29"/>
      <c r="I279" s="29"/>
      <c r="J279" s="29"/>
      <c r="K279" s="29"/>
      <c r="L279" s="29"/>
    </row>
    <row r="280" spans="1:12">
      <c r="A280" s="29"/>
      <c r="B280" s="200"/>
      <c r="C280" s="200"/>
      <c r="D280" s="200"/>
      <c r="E280" s="133"/>
      <c r="F280" s="29"/>
      <c r="G280" s="29"/>
      <c r="H280" s="29"/>
      <c r="I280" s="29"/>
      <c r="J280" s="29"/>
      <c r="K280" s="29"/>
      <c r="L280" s="29"/>
    </row>
    <row r="281" spans="1:12">
      <c r="A281" s="29"/>
      <c r="B281" s="200"/>
      <c r="C281" s="200"/>
      <c r="D281" s="200"/>
      <c r="E281" s="133"/>
      <c r="F281" s="29"/>
      <c r="G281" s="29"/>
      <c r="H281" s="29"/>
      <c r="I281" s="29"/>
      <c r="J281" s="29"/>
      <c r="K281" s="29"/>
      <c r="L281" s="29"/>
    </row>
    <row r="282" spans="1:12">
      <c r="A282" s="29"/>
      <c r="B282" s="200"/>
      <c r="C282" s="200"/>
      <c r="D282" s="200"/>
      <c r="E282" s="133"/>
      <c r="F282" s="29"/>
      <c r="G282" s="29"/>
      <c r="H282" s="29"/>
      <c r="I282" s="29"/>
      <c r="J282" s="29"/>
      <c r="K282" s="29"/>
      <c r="L282" s="29"/>
    </row>
    <row r="283" spans="1:12">
      <c r="A283" s="29"/>
      <c r="B283" s="200"/>
      <c r="C283" s="200"/>
      <c r="D283" s="200"/>
      <c r="E283" s="133"/>
      <c r="F283" s="29"/>
      <c r="G283" s="29"/>
      <c r="H283" s="29"/>
      <c r="I283" s="29"/>
      <c r="J283" s="29"/>
      <c r="K283" s="29"/>
      <c r="L283" s="29"/>
    </row>
    <row r="284" spans="1:12">
      <c r="A284" s="29"/>
      <c r="B284" s="200"/>
      <c r="C284" s="200"/>
      <c r="D284" s="200"/>
      <c r="E284" s="133"/>
      <c r="F284" s="29"/>
      <c r="G284" s="29"/>
      <c r="H284" s="29"/>
      <c r="I284" s="29"/>
      <c r="J284" s="29"/>
      <c r="K284" s="29"/>
      <c r="L284" s="29"/>
    </row>
    <row r="285" spans="1:12">
      <c r="A285" s="29"/>
      <c r="B285" s="200"/>
      <c r="C285" s="200"/>
      <c r="D285" s="200"/>
      <c r="E285" s="133"/>
      <c r="F285" s="29"/>
      <c r="G285" s="29"/>
      <c r="H285" s="29"/>
      <c r="I285" s="29"/>
      <c r="J285" s="29"/>
      <c r="K285" s="29"/>
      <c r="L285" s="29"/>
    </row>
    <row r="286" spans="1:12">
      <c r="A286" s="29"/>
      <c r="B286" s="200"/>
      <c r="C286" s="200"/>
      <c r="D286" s="200"/>
      <c r="E286" s="133"/>
      <c r="F286" s="29"/>
      <c r="G286" s="29"/>
      <c r="H286" s="29"/>
      <c r="I286" s="29"/>
      <c r="J286" s="29"/>
      <c r="K286" s="29"/>
      <c r="L286" s="29"/>
    </row>
  </sheetData>
  <sheetProtection insertRows="0" deleteRows="0"/>
  <mergeCells count="25">
    <mergeCell ref="A7:L7"/>
    <mergeCell ref="A8:L8"/>
    <mergeCell ref="B4:H5"/>
    <mergeCell ref="A1:L1"/>
    <mergeCell ref="A2:L2"/>
    <mergeCell ref="A3:L3"/>
    <mergeCell ref="I4:L4"/>
    <mergeCell ref="I5:I6"/>
    <mergeCell ref="J5:J6"/>
    <mergeCell ref="K5:K6"/>
    <mergeCell ref="L5:L6"/>
    <mergeCell ref="A4:A5"/>
    <mergeCell ref="A23:D23"/>
    <mergeCell ref="A142:L142"/>
    <mergeCell ref="A231:D231"/>
    <mergeCell ref="A235:D235"/>
    <mergeCell ref="A236:D236"/>
    <mergeCell ref="A24:L24"/>
    <mergeCell ref="A25:H25"/>
    <mergeCell ref="A232:L232"/>
    <mergeCell ref="A228:L228"/>
    <mergeCell ref="A152:D152"/>
    <mergeCell ref="A153:L153"/>
    <mergeCell ref="A226:D226"/>
    <mergeCell ref="A227:D227"/>
  </mergeCells>
  <phoneticPr fontId="36" type="noConversion"/>
  <dataValidations count="1">
    <dataValidation type="list" allowBlank="1" showInputMessage="1" showErrorMessage="1" sqref="F233:F234 F143:F151 F9:F22 F229:F230 F154:F225 F26:F140">
      <formula1>$N$9:$N$11</formula1>
    </dataValidation>
  </dataValidations>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0"/>
  <sheetViews>
    <sheetView zoomScaleNormal="100" zoomScaleSheetLayoutView="68" workbookViewId="0">
      <selection activeCell="B1" sqref="B1"/>
    </sheetView>
  </sheetViews>
  <sheetFormatPr baseColWidth="10" defaultRowHeight="14.5"/>
  <cols>
    <col min="2" max="2" width="51" customWidth="1"/>
    <col min="3" max="5" width="17.453125" customWidth="1"/>
    <col min="6" max="6" width="20.1796875" bestFit="1" customWidth="1"/>
  </cols>
  <sheetData>
    <row r="2" spans="2:6">
      <c r="B2" s="463" t="s">
        <v>365</v>
      </c>
      <c r="C2" s="463"/>
      <c r="D2" s="463"/>
      <c r="E2" s="463"/>
    </row>
    <row r="3" spans="2:6" ht="15" thickBot="1">
      <c r="B3" s="460" t="s">
        <v>79</v>
      </c>
      <c r="C3" s="461"/>
      <c r="D3" s="461"/>
      <c r="E3" s="461"/>
    </row>
    <row r="4" spans="2:6" ht="41.25" customHeight="1" thickBot="1">
      <c r="B4" s="137" t="s">
        <v>81</v>
      </c>
      <c r="C4" s="138" t="s">
        <v>83</v>
      </c>
      <c r="D4" s="139" t="s">
        <v>115</v>
      </c>
      <c r="E4" s="140" t="s">
        <v>117</v>
      </c>
    </row>
    <row r="5" spans="2:6" ht="73" thickBot="1">
      <c r="B5" s="307" t="s">
        <v>124</v>
      </c>
      <c r="C5" s="30">
        <f>+'1.- Matriz de inversión'!E23</f>
        <v>11117</v>
      </c>
      <c r="D5" s="30">
        <f>+'1.- Matriz de inversión'!G23</f>
        <v>1415.4199999999998</v>
      </c>
      <c r="E5" s="30">
        <f>+'1.- Matriz de inversión'!H23</f>
        <v>12532.42</v>
      </c>
      <c r="F5" s="162">
        <f>+C5+D5</f>
        <v>12532.42</v>
      </c>
    </row>
    <row r="6" spans="2:6" ht="66.75" customHeight="1" thickBot="1">
      <c r="B6" s="164" t="s">
        <v>125</v>
      </c>
      <c r="C6" s="30">
        <f>+'1.- Matriz de inversión'!E141</f>
        <v>138138.28999999992</v>
      </c>
      <c r="D6" s="30">
        <f>+'1.- Matriz de inversión'!G141</f>
        <v>260.97449999999998</v>
      </c>
      <c r="E6" s="30">
        <f>+ROUND(F6,2)</f>
        <v>138399.26</v>
      </c>
      <c r="F6" s="162">
        <f>+C6+D6</f>
        <v>138399.26449999993</v>
      </c>
    </row>
    <row r="7" spans="2:6" ht="75.75" customHeight="1" thickBot="1">
      <c r="B7" s="164" t="s">
        <v>126</v>
      </c>
      <c r="C7" s="30">
        <f>+'1.- Matriz de inversión'!E152</f>
        <v>33320</v>
      </c>
      <c r="D7" s="30">
        <f>+'1.- Matriz de inversión'!G152</f>
        <v>0</v>
      </c>
      <c r="E7" s="30">
        <f>+ROUND(F7,2)</f>
        <v>33320</v>
      </c>
      <c r="F7" s="162">
        <f>+C7+D7</f>
        <v>33320</v>
      </c>
    </row>
    <row r="8" spans="2:6" ht="75.75" customHeight="1" thickBot="1">
      <c r="B8" s="165" t="s">
        <v>127</v>
      </c>
      <c r="C8" s="135">
        <f>+'1.- Matriz de inversión'!E226</f>
        <v>69849.899999999994</v>
      </c>
      <c r="D8" s="135">
        <f>+'1.- Matriz de inversión'!G226</f>
        <v>264.65100000000001</v>
      </c>
      <c r="E8" s="30">
        <f>+ROUND(F8,2)</f>
        <v>70114.55</v>
      </c>
      <c r="F8" s="162">
        <f>+C8+D8</f>
        <v>70114.550999999992</v>
      </c>
    </row>
    <row r="9" spans="2:6" ht="18.5">
      <c r="B9" s="462" t="s">
        <v>2</v>
      </c>
      <c r="C9" s="462"/>
      <c r="D9" s="462"/>
      <c r="E9" s="136">
        <f>SUM(E5:E8)</f>
        <v>254366.23000000004</v>
      </c>
    </row>
    <row r="10" spans="2:6">
      <c r="B10" s="5"/>
      <c r="C10" s="5"/>
      <c r="D10" s="5"/>
      <c r="E10" s="5"/>
    </row>
  </sheetData>
  <mergeCells count="3">
    <mergeCell ref="B3:E3"/>
    <mergeCell ref="B9:D9"/>
    <mergeCell ref="B2:E2"/>
  </mergeCells>
  <pageMargins left="0.7" right="0.7"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2"/>
  <sheetViews>
    <sheetView view="pageBreakPreview" zoomScale="80" zoomScaleNormal="80" zoomScaleSheetLayoutView="80" workbookViewId="0">
      <selection activeCell="C3" sqref="C3:N3"/>
    </sheetView>
  </sheetViews>
  <sheetFormatPr baseColWidth="10" defaultColWidth="6.1796875" defaultRowHeight="14.5"/>
  <cols>
    <col min="1" max="1" width="31.81640625" customWidth="1"/>
    <col min="2" max="2" width="17.453125" customWidth="1"/>
    <col min="3" max="14" width="10" style="1" customWidth="1"/>
    <col min="15" max="15" width="29.453125" customWidth="1"/>
  </cols>
  <sheetData>
    <row r="1" spans="1:15" ht="16" thickBot="1">
      <c r="A1" s="476" t="s">
        <v>366</v>
      </c>
      <c r="B1" s="477"/>
      <c r="C1" s="477"/>
      <c r="D1" s="477"/>
      <c r="E1" s="477"/>
      <c r="F1" s="477"/>
      <c r="G1" s="477"/>
      <c r="H1" s="477"/>
      <c r="I1" s="477"/>
      <c r="J1" s="477"/>
      <c r="K1" s="477"/>
      <c r="L1" s="477"/>
      <c r="M1" s="477"/>
      <c r="N1" s="477"/>
      <c r="O1" s="478"/>
    </row>
    <row r="2" spans="1:15" ht="42" customHeight="1" thickBot="1">
      <c r="A2" s="479" t="str">
        <f>+'1.- Matriz de inversión'!A3:L3</f>
        <v>SUBPROYECTO: "NOMBRE DEL SUBPROYECTO XYZ"</v>
      </c>
      <c r="B2" s="480"/>
      <c r="C2" s="480"/>
      <c r="D2" s="480"/>
      <c r="E2" s="480"/>
      <c r="F2" s="480"/>
      <c r="G2" s="480"/>
      <c r="H2" s="480"/>
      <c r="I2" s="480"/>
      <c r="J2" s="480"/>
      <c r="K2" s="480"/>
      <c r="L2" s="480"/>
      <c r="M2" s="480"/>
      <c r="N2" s="480"/>
      <c r="O2" s="481"/>
    </row>
    <row r="3" spans="1:15" ht="15" thickBot="1">
      <c r="A3" s="488" t="s">
        <v>80</v>
      </c>
      <c r="B3" s="488" t="s">
        <v>4</v>
      </c>
      <c r="C3" s="482" t="s">
        <v>5</v>
      </c>
      <c r="D3" s="483"/>
      <c r="E3" s="483"/>
      <c r="F3" s="483"/>
      <c r="G3" s="483"/>
      <c r="H3" s="483"/>
      <c r="I3" s="483"/>
      <c r="J3" s="483"/>
      <c r="K3" s="483"/>
      <c r="L3" s="483"/>
      <c r="M3" s="483"/>
      <c r="N3" s="484"/>
      <c r="O3" s="488" t="s">
        <v>2</v>
      </c>
    </row>
    <row r="4" spans="1:15" ht="15" thickBot="1">
      <c r="A4" s="489"/>
      <c r="B4" s="489"/>
      <c r="C4" s="11" t="s">
        <v>6</v>
      </c>
      <c r="D4" s="11" t="s">
        <v>7</v>
      </c>
      <c r="E4" s="11" t="s">
        <v>8</v>
      </c>
      <c r="F4" s="11" t="s">
        <v>9</v>
      </c>
      <c r="G4" s="11" t="s">
        <v>10</v>
      </c>
      <c r="H4" s="11" t="s">
        <v>11</v>
      </c>
      <c r="I4" s="11" t="s">
        <v>12</v>
      </c>
      <c r="J4" s="11" t="s">
        <v>13</v>
      </c>
      <c r="K4" s="11" t="s">
        <v>14</v>
      </c>
      <c r="L4" s="11" t="s">
        <v>15</v>
      </c>
      <c r="M4" s="11" t="s">
        <v>16</v>
      </c>
      <c r="N4" s="11" t="s">
        <v>17</v>
      </c>
      <c r="O4" s="489"/>
    </row>
    <row r="5" spans="1:15" ht="37.5" customHeight="1" thickBot="1">
      <c r="A5" s="485" t="s">
        <v>79</v>
      </c>
      <c r="B5" s="486"/>
      <c r="C5" s="486"/>
      <c r="D5" s="486"/>
      <c r="E5" s="486"/>
      <c r="F5" s="486"/>
      <c r="G5" s="486"/>
      <c r="H5" s="486"/>
      <c r="I5" s="486"/>
      <c r="J5" s="486"/>
      <c r="K5" s="486"/>
      <c r="L5" s="486"/>
      <c r="M5" s="486"/>
      <c r="N5" s="486"/>
      <c r="O5" s="487"/>
    </row>
    <row r="6" spans="1:15" ht="94.5" customHeight="1" thickBot="1">
      <c r="A6" s="17" t="str">
        <f>+'1.- Matriz de inversión'!A8:L8</f>
        <v xml:space="preserve">C2.A2.1. Fortalecimiento de la cadena de valor productiva de organizaciones de pueblos y nacionalidades, afroecuatorianos y montubios, mediante la obtención de patentes, registros sanitarios, certificaciones de buenas prácticas, propiedad intelectual, entre otros. </v>
      </c>
      <c r="B6" s="149">
        <f>+'2.- Resumen por Línea '!E5+ROUNDDOWN(,2)</f>
        <v>12532.42</v>
      </c>
      <c r="C6" s="12"/>
      <c r="D6" s="12"/>
      <c r="E6" s="12">
        <v>10000</v>
      </c>
      <c r="F6" s="12">
        <v>342</v>
      </c>
      <c r="G6" s="12">
        <v>0.17</v>
      </c>
      <c r="H6" s="12"/>
      <c r="I6" s="12"/>
      <c r="J6" s="12">
        <v>1000</v>
      </c>
      <c r="K6" s="12"/>
      <c r="L6" s="12"/>
      <c r="M6" s="12"/>
      <c r="N6" s="12"/>
      <c r="O6" s="18">
        <f>SUM(C6:N6)</f>
        <v>11342.17</v>
      </c>
    </row>
    <row r="7" spans="1:15" ht="59.25" customHeight="1" thickBot="1">
      <c r="A7" s="19" t="str">
        <f>+'1.- Matriz de inversión'!A24:L24</f>
        <v>C2.A2.2. Fortalecimiento de la infraestructura productiva de organizaciones de pueblos y nacionalidades, afroecuatorianos y montubios</v>
      </c>
      <c r="B7" s="149">
        <f>+'2.- Resumen por Línea '!E6+ROUNDDOWN(,2)</f>
        <v>138399.26</v>
      </c>
      <c r="C7" s="13"/>
      <c r="D7" s="13"/>
      <c r="E7" s="13"/>
      <c r="F7" s="13">
        <v>128000</v>
      </c>
      <c r="G7" s="13">
        <v>10000</v>
      </c>
      <c r="H7" s="13"/>
      <c r="I7" s="13">
        <v>399</v>
      </c>
      <c r="J7" s="13">
        <v>0.26</v>
      </c>
      <c r="K7" s="13"/>
      <c r="L7" s="13"/>
      <c r="M7" s="13"/>
      <c r="N7" s="13"/>
      <c r="O7" s="18">
        <f>SUM(C7:N7)</f>
        <v>138399.26</v>
      </c>
    </row>
    <row r="8" spans="1:15" ht="69" customHeight="1" thickBot="1">
      <c r="A8" s="19" t="str">
        <f>+'1.- Matriz de inversión'!A142:L142</f>
        <v>C2.A2.3. Fortalecimiento a las iniciativas productivas de pueblos y nacionalidades afroecuatorianos y montubios, relacionados con la economía popular y solidaria.</v>
      </c>
      <c r="B8" s="149">
        <f>+'2.- Resumen por Línea '!E7+ROUNDDOWN(,2)</f>
        <v>33320</v>
      </c>
      <c r="C8" s="13"/>
      <c r="D8" s="13"/>
      <c r="E8" s="13">
        <v>33320</v>
      </c>
      <c r="F8" s="13"/>
      <c r="G8" s="13"/>
      <c r="H8" s="13"/>
      <c r="I8" s="13"/>
      <c r="J8" s="13"/>
      <c r="K8" s="13"/>
      <c r="L8" s="13"/>
      <c r="M8" s="13"/>
      <c r="N8" s="13"/>
      <c r="O8" s="18">
        <f t="shared" ref="O8:O9" si="0">SUM(C8:N8)</f>
        <v>33320</v>
      </c>
    </row>
    <row r="9" spans="1:15" ht="82.5" customHeight="1" thickBot="1">
      <c r="A9" s="20" t="str">
        <f>+'1.- Matriz de inversión'!A153:L153</f>
        <v>C2.A2.4. Fortalecimiento de iniciativas productivas comunitarias de organizaciones, pueblos y nacionalidades afroecuatorianos y montubios, mediante la dotación de insumos, materiales y equipamiento.</v>
      </c>
      <c r="B9" s="149">
        <f>+'2.- Resumen por Línea '!E8+ROUNDDOWN(,2)</f>
        <v>70114.55</v>
      </c>
      <c r="C9" s="14"/>
      <c r="D9" s="14"/>
      <c r="E9" s="14">
        <v>68085.56</v>
      </c>
      <c r="F9" s="14"/>
      <c r="G9" s="14"/>
      <c r="H9" s="14"/>
      <c r="I9" s="14"/>
      <c r="J9" s="14"/>
      <c r="K9" s="14"/>
      <c r="L9" s="14"/>
      <c r="M9" s="14"/>
      <c r="N9" s="14"/>
      <c r="O9" s="18">
        <f t="shared" si="0"/>
        <v>68085.56</v>
      </c>
    </row>
    <row r="10" spans="1:15" ht="51" customHeight="1" thickBot="1">
      <c r="A10" s="157" t="s">
        <v>97</v>
      </c>
      <c r="B10" s="163">
        <f>SUM(B6:B9)</f>
        <v>254366.23000000004</v>
      </c>
      <c r="C10" s="158"/>
      <c r="D10" s="158"/>
      <c r="E10" s="158"/>
      <c r="F10" s="158"/>
      <c r="G10" s="158"/>
      <c r="H10" s="158"/>
      <c r="I10" s="158"/>
      <c r="J10" s="158"/>
      <c r="K10" s="158"/>
      <c r="L10" s="158"/>
      <c r="M10" s="158"/>
      <c r="N10" s="158"/>
      <c r="O10" s="159">
        <f>SUM(O6:O9)</f>
        <v>251146.99000000002</v>
      </c>
    </row>
    <row r="11" spans="1:15" ht="51" customHeight="1" thickBot="1">
      <c r="A11" s="150" t="s">
        <v>111</v>
      </c>
      <c r="B11" s="306">
        <f>+'1.- Matriz de inversión'!H231</f>
        <v>2616.25</v>
      </c>
      <c r="C11" s="151">
        <f>B11</f>
        <v>2616.25</v>
      </c>
      <c r="D11" s="152"/>
      <c r="E11" s="152"/>
      <c r="F11" s="152"/>
      <c r="G11" s="152"/>
      <c r="H11" s="152"/>
      <c r="I11" s="152"/>
      <c r="J11" s="152"/>
      <c r="K11" s="152"/>
      <c r="L11" s="152"/>
      <c r="M11" s="152"/>
      <c r="N11" s="152"/>
      <c r="O11" s="153">
        <f>SUM(C11:N11)</f>
        <v>2616.25</v>
      </c>
    </row>
    <row r="12" spans="1:15" ht="51" customHeight="1" thickBot="1">
      <c r="A12" s="150" t="s">
        <v>99</v>
      </c>
      <c r="B12" s="155">
        <f>+'1.- Matriz de inversión'!H235</f>
        <v>12650</v>
      </c>
      <c r="C12" s="151">
        <f>B12/12</f>
        <v>1054.1666666666667</v>
      </c>
      <c r="D12" s="151">
        <f>+C12</f>
        <v>1054.1666666666667</v>
      </c>
      <c r="E12" s="151">
        <f t="shared" ref="E12:N12" si="1">+D12</f>
        <v>1054.1666666666667</v>
      </c>
      <c r="F12" s="151">
        <f t="shared" si="1"/>
        <v>1054.1666666666667</v>
      </c>
      <c r="G12" s="151">
        <f t="shared" si="1"/>
        <v>1054.1666666666667</v>
      </c>
      <c r="H12" s="151">
        <f t="shared" si="1"/>
        <v>1054.1666666666667</v>
      </c>
      <c r="I12" s="151">
        <f t="shared" si="1"/>
        <v>1054.1666666666667</v>
      </c>
      <c r="J12" s="151">
        <f t="shared" si="1"/>
        <v>1054.1666666666667</v>
      </c>
      <c r="K12" s="151">
        <f t="shared" si="1"/>
        <v>1054.1666666666667</v>
      </c>
      <c r="L12" s="151">
        <f t="shared" si="1"/>
        <v>1054.1666666666667</v>
      </c>
      <c r="M12" s="151">
        <f t="shared" si="1"/>
        <v>1054.1666666666667</v>
      </c>
      <c r="N12" s="151">
        <f t="shared" si="1"/>
        <v>1054.1666666666667</v>
      </c>
      <c r="O12" s="153">
        <f>SUM(C12:N12)</f>
        <v>12649.999999999998</v>
      </c>
    </row>
    <row r="13" spans="1:15" ht="51" customHeight="1" thickBot="1">
      <c r="A13" s="150" t="str">
        <f>'1.- Matriz de inversión'!A236</f>
        <v xml:space="preserve">TOTAL </v>
      </c>
      <c r="B13" s="156">
        <f>SUM(B10:B12)</f>
        <v>269632.48000000004</v>
      </c>
      <c r="C13" s="151">
        <f>SUM(C10:C12)</f>
        <v>3670.416666666667</v>
      </c>
      <c r="D13" s="151">
        <f>SUM(D11:D12)</f>
        <v>1054.1666666666667</v>
      </c>
      <c r="E13" s="151">
        <f t="shared" ref="E13:N13" si="2">SUM(E11:E12)</f>
        <v>1054.1666666666667</v>
      </c>
      <c r="F13" s="151">
        <f t="shared" si="2"/>
        <v>1054.1666666666667</v>
      </c>
      <c r="G13" s="151">
        <f t="shared" si="2"/>
        <v>1054.1666666666667</v>
      </c>
      <c r="H13" s="151">
        <f t="shared" si="2"/>
        <v>1054.1666666666667</v>
      </c>
      <c r="I13" s="151">
        <f t="shared" si="2"/>
        <v>1054.1666666666667</v>
      </c>
      <c r="J13" s="151">
        <f t="shared" si="2"/>
        <v>1054.1666666666667</v>
      </c>
      <c r="K13" s="151">
        <f t="shared" si="2"/>
        <v>1054.1666666666667</v>
      </c>
      <c r="L13" s="151">
        <f t="shared" si="2"/>
        <v>1054.1666666666667</v>
      </c>
      <c r="M13" s="151">
        <f t="shared" si="2"/>
        <v>1054.1666666666667</v>
      </c>
      <c r="N13" s="151">
        <f t="shared" si="2"/>
        <v>1054.1666666666667</v>
      </c>
      <c r="O13" s="154">
        <f>SUM(O10:O12)</f>
        <v>266413.24</v>
      </c>
    </row>
    <row r="14" spans="1:15">
      <c r="A14" s="9"/>
      <c r="B14" s="9"/>
      <c r="C14" s="15"/>
      <c r="D14" s="15"/>
      <c r="E14" s="15"/>
      <c r="F14" s="16"/>
      <c r="G14" s="16"/>
      <c r="H14" s="16"/>
      <c r="I14" s="16"/>
      <c r="J14" s="16"/>
      <c r="K14" s="16"/>
      <c r="L14" s="16"/>
      <c r="M14" s="16"/>
      <c r="N14" s="16"/>
      <c r="O14" s="10"/>
    </row>
    <row r="15" spans="1:15" ht="28.5" customHeight="1">
      <c r="A15" s="9"/>
      <c r="B15" s="492" t="s">
        <v>367</v>
      </c>
      <c r="C15" s="492"/>
      <c r="D15" s="492"/>
      <c r="E15" s="492"/>
      <c r="F15" s="492"/>
      <c r="G15" s="492"/>
      <c r="H15" s="492"/>
      <c r="I15" s="492"/>
      <c r="J15" s="16"/>
      <c r="K15" s="16"/>
      <c r="L15" s="16"/>
      <c r="M15" s="16"/>
      <c r="N15" s="16"/>
      <c r="O15" s="10"/>
    </row>
    <row r="16" spans="1:15" ht="15" thickBot="1">
      <c r="A16" s="9"/>
      <c r="B16" s="9"/>
      <c r="C16" s="15"/>
      <c r="D16" s="15"/>
      <c r="E16" s="15"/>
      <c r="F16" s="16"/>
      <c r="G16" s="16"/>
      <c r="H16" s="16"/>
      <c r="I16" s="16"/>
      <c r="J16" s="16"/>
      <c r="K16" s="16"/>
      <c r="L16" s="16"/>
      <c r="M16" s="16"/>
      <c r="N16" s="16"/>
      <c r="O16" s="10"/>
    </row>
    <row r="17" spans="1:15" s="160" customFormat="1" ht="35.25" customHeight="1" thickBot="1">
      <c r="A17" s="10"/>
      <c r="B17" s="464" t="s">
        <v>123</v>
      </c>
      <c r="C17" s="465"/>
      <c r="D17" s="467" t="str">
        <f>+A10</f>
        <v>SUBTOTAL  APORTE DE LA SGDPN</v>
      </c>
      <c r="E17" s="468"/>
      <c r="F17" s="467" t="str">
        <f>+A11</f>
        <v>SUBTOTAL  APORTE DE LA COMUNIDAD</v>
      </c>
      <c r="G17" s="468"/>
      <c r="H17" s="467" t="str">
        <f>+A12</f>
        <v>SUBTOTAL "NOMBRE COMPLETO DE GAD"</v>
      </c>
      <c r="I17" s="468"/>
      <c r="J17" s="16"/>
      <c r="K17" s="16"/>
      <c r="L17" s="16"/>
      <c r="M17" s="16"/>
      <c r="N17" s="16"/>
      <c r="O17" s="10"/>
    </row>
    <row r="18" spans="1:15" s="160" customFormat="1" ht="24" customHeight="1" thickBot="1">
      <c r="A18" s="10"/>
      <c r="B18" s="490" t="s">
        <v>77</v>
      </c>
      <c r="C18" s="491"/>
      <c r="D18" s="469"/>
      <c r="E18" s="470"/>
      <c r="F18" s="469"/>
      <c r="G18" s="470"/>
      <c r="H18" s="469"/>
      <c r="I18" s="470"/>
      <c r="J18" s="16"/>
      <c r="K18" s="16"/>
      <c r="L18" s="16"/>
      <c r="M18" s="16"/>
      <c r="N18" s="16"/>
      <c r="O18" s="10"/>
    </row>
    <row r="19" spans="1:15" s="160" customFormat="1" ht="24" customHeight="1" thickBot="1">
      <c r="A19" s="10"/>
      <c r="B19" s="490" t="s">
        <v>78</v>
      </c>
      <c r="C19" s="491"/>
      <c r="D19" s="469"/>
      <c r="E19" s="470"/>
      <c r="F19" s="469"/>
      <c r="G19" s="470"/>
      <c r="H19" s="469"/>
      <c r="I19" s="470"/>
      <c r="J19" s="16"/>
      <c r="K19" s="16"/>
      <c r="L19" s="16"/>
      <c r="M19" s="16"/>
      <c r="N19" s="16"/>
      <c r="O19" s="10"/>
    </row>
    <row r="20" spans="1:15" s="160" customFormat="1" ht="24" customHeight="1" thickBot="1">
      <c r="A20" s="10"/>
      <c r="B20" s="490" t="s">
        <v>105</v>
      </c>
      <c r="C20" s="491"/>
      <c r="D20" s="469"/>
      <c r="E20" s="470"/>
      <c r="F20" s="469"/>
      <c r="G20" s="470"/>
      <c r="H20" s="469"/>
      <c r="I20" s="470"/>
      <c r="J20" s="16"/>
      <c r="K20" s="16"/>
      <c r="L20" s="16"/>
      <c r="M20" s="16"/>
      <c r="N20" s="16"/>
      <c r="O20" s="10"/>
    </row>
    <row r="21" spans="1:15" s="160" customFormat="1" ht="24" customHeight="1" thickBot="1">
      <c r="A21" s="10"/>
      <c r="B21" s="490" t="s">
        <v>106</v>
      </c>
      <c r="C21" s="491"/>
      <c r="D21" s="469"/>
      <c r="E21" s="470"/>
      <c r="F21" s="469"/>
      <c r="G21" s="470"/>
      <c r="H21" s="469"/>
      <c r="I21" s="470"/>
      <c r="J21" s="16"/>
      <c r="K21" s="16"/>
      <c r="L21" s="16"/>
      <c r="M21" s="16"/>
      <c r="N21" s="16"/>
      <c r="O21" s="10"/>
    </row>
    <row r="22" spans="1:15" s="160" customFormat="1" ht="24" customHeight="1" thickBot="1">
      <c r="A22" s="10"/>
      <c r="B22" s="464" t="s">
        <v>2</v>
      </c>
      <c r="C22" s="466"/>
      <c r="D22" s="474">
        <f>SUM(D18:E21)</f>
        <v>0</v>
      </c>
      <c r="E22" s="475"/>
      <c r="F22" s="474">
        <f t="shared" ref="F22" si="3">SUM(F18:G21)</f>
        <v>0</v>
      </c>
      <c r="G22" s="475"/>
      <c r="H22" s="474">
        <f t="shared" ref="H22" si="4">SUM(H18:I21)</f>
        <v>0</v>
      </c>
      <c r="I22" s="475"/>
      <c r="J22" s="16"/>
      <c r="K22" s="16"/>
      <c r="L22" s="16"/>
      <c r="M22" s="16"/>
      <c r="N22" s="16"/>
      <c r="O22" s="10"/>
    </row>
    <row r="26" spans="1:15" ht="15.5">
      <c r="F26" s="22"/>
      <c r="G26" s="22"/>
      <c r="H26" s="22"/>
      <c r="I26" s="22"/>
      <c r="J26" s="23"/>
    </row>
    <row r="27" spans="1:15" ht="15.5">
      <c r="F27" s="472"/>
      <c r="G27" s="472"/>
      <c r="H27" s="472"/>
      <c r="I27" s="472"/>
      <c r="J27" s="23"/>
    </row>
    <row r="28" spans="1:15" ht="15.5">
      <c r="F28" s="472"/>
      <c r="G28" s="472"/>
      <c r="H28" s="472"/>
      <c r="I28" s="472"/>
      <c r="J28" s="23"/>
    </row>
    <row r="29" spans="1:15" ht="15.5">
      <c r="F29" s="25"/>
      <c r="G29" s="25"/>
      <c r="H29" s="25"/>
      <c r="I29" s="25"/>
      <c r="J29" s="23"/>
    </row>
    <row r="30" spans="1:15" ht="15.5">
      <c r="F30" s="472"/>
      <c r="G30" s="472"/>
      <c r="H30" s="472"/>
      <c r="I30" s="472"/>
      <c r="J30" s="23"/>
    </row>
    <row r="31" spans="1:15" ht="15.5">
      <c r="F31" s="473"/>
      <c r="G31" s="473"/>
      <c r="H31" s="471"/>
      <c r="I31" s="471"/>
      <c r="J31" s="23"/>
    </row>
    <row r="32" spans="1:15" ht="15.5">
      <c r="B32" s="21"/>
      <c r="C32" s="21"/>
      <c r="D32" s="21"/>
      <c r="E32" s="21"/>
      <c r="F32" s="24"/>
      <c r="G32" s="24"/>
      <c r="H32" s="24"/>
      <c r="I32" s="24"/>
      <c r="J32" s="23"/>
    </row>
  </sheetData>
  <mergeCells count="40">
    <mergeCell ref="A1:O1"/>
    <mergeCell ref="A2:O2"/>
    <mergeCell ref="C3:N3"/>
    <mergeCell ref="H27:I27"/>
    <mergeCell ref="D18:E18"/>
    <mergeCell ref="A5:O5"/>
    <mergeCell ref="O3:O4"/>
    <mergeCell ref="B3:B4"/>
    <mergeCell ref="A3:A4"/>
    <mergeCell ref="B18:C18"/>
    <mergeCell ref="B19:C19"/>
    <mergeCell ref="B21:C21"/>
    <mergeCell ref="F27:G27"/>
    <mergeCell ref="B20:C20"/>
    <mergeCell ref="D17:E17"/>
    <mergeCell ref="B15:I15"/>
    <mergeCell ref="H31:I31"/>
    <mergeCell ref="D19:E19"/>
    <mergeCell ref="F28:G28"/>
    <mergeCell ref="H28:I28"/>
    <mergeCell ref="F30:G30"/>
    <mergeCell ref="H30:I30"/>
    <mergeCell ref="D21:E21"/>
    <mergeCell ref="D20:E20"/>
    <mergeCell ref="F31:G31"/>
    <mergeCell ref="D22:E22"/>
    <mergeCell ref="F20:G20"/>
    <mergeCell ref="F21:G21"/>
    <mergeCell ref="F22:G22"/>
    <mergeCell ref="H20:I20"/>
    <mergeCell ref="H21:I21"/>
    <mergeCell ref="H22:I22"/>
    <mergeCell ref="B17:C17"/>
    <mergeCell ref="B22:C22"/>
    <mergeCell ref="F17:G17"/>
    <mergeCell ref="H17:I17"/>
    <mergeCell ref="F18:G18"/>
    <mergeCell ref="F19:G19"/>
    <mergeCell ref="H18:I18"/>
    <mergeCell ref="H19:I19"/>
  </mergeCells>
  <conditionalFormatting sqref="O6">
    <cfRule type="cellIs" dxfId="12" priority="15" operator="notEqual">
      <formula>$B$6</formula>
    </cfRule>
  </conditionalFormatting>
  <conditionalFormatting sqref="O7">
    <cfRule type="cellIs" dxfId="11" priority="14" operator="notEqual">
      <formula>$B$7</formula>
    </cfRule>
  </conditionalFormatting>
  <conditionalFormatting sqref="O8">
    <cfRule type="cellIs" dxfId="10" priority="13" operator="notEqual">
      <formula>$B$8</formula>
    </cfRule>
  </conditionalFormatting>
  <conditionalFormatting sqref="O9">
    <cfRule type="cellIs" dxfId="9" priority="12" operator="notEqual">
      <formula>$B$9</formula>
    </cfRule>
  </conditionalFormatting>
  <conditionalFormatting sqref="O11">
    <cfRule type="cellIs" dxfId="8" priority="10" operator="notEqual">
      <formula>$B$11</formula>
    </cfRule>
  </conditionalFormatting>
  <conditionalFormatting sqref="O12">
    <cfRule type="cellIs" dxfId="7" priority="9" operator="notEqual">
      <formula>$B$12</formula>
    </cfRule>
  </conditionalFormatting>
  <conditionalFormatting sqref="D22:I22">
    <cfRule type="cellIs" dxfId="6" priority="6" operator="notEqual">
      <formula>$B$10</formula>
    </cfRule>
  </conditionalFormatting>
  <conditionalFormatting sqref="D22:E22">
    <cfRule type="cellIs" dxfId="5" priority="3" operator="equal">
      <formula>$B$10</formula>
    </cfRule>
  </conditionalFormatting>
  <conditionalFormatting sqref="F22:G22">
    <cfRule type="cellIs" dxfId="4" priority="2" operator="equal">
      <formula>$B$11</formula>
    </cfRule>
  </conditionalFormatting>
  <conditionalFormatting sqref="H22:I22">
    <cfRule type="cellIs" dxfId="3" priority="1" operator="equal">
      <formula>$B$12</formula>
    </cfRule>
  </conditionalFormatting>
  <pageMargins left="0.25" right="0.25" top="0.75" bottom="0.75" header="0.3" footer="0.3"/>
  <pageSetup scale="64" orientation="landscape" r:id="rId1"/>
  <rowBreaks count="1" manualBreakCount="1">
    <brk id="13" max="1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5"/>
  <sheetViews>
    <sheetView topLeftCell="A21" zoomScaleNormal="100" workbookViewId="0">
      <selection sqref="A1:E1"/>
    </sheetView>
  </sheetViews>
  <sheetFormatPr baseColWidth="10" defaultColWidth="11" defaultRowHeight="14.5"/>
  <cols>
    <col min="1" max="1" width="45" style="5" customWidth="1"/>
    <col min="2" max="4" width="11" style="5"/>
    <col min="5" max="5" width="14.54296875" style="5" customWidth="1"/>
    <col min="6" max="7" width="11" style="5"/>
    <col min="8" max="8" width="19.81640625" style="5" customWidth="1"/>
    <col min="9" max="15" width="11" style="5"/>
    <col min="16" max="16" width="20.54296875" style="5" customWidth="1"/>
    <col min="17" max="16384" width="11" style="5"/>
  </cols>
  <sheetData>
    <row r="1" spans="1:16" ht="16" thickBot="1">
      <c r="A1" s="502" t="s">
        <v>368</v>
      </c>
      <c r="B1" s="503"/>
      <c r="C1" s="503"/>
      <c r="D1" s="503"/>
      <c r="E1" s="504"/>
      <c r="G1" s="505" t="s">
        <v>18</v>
      </c>
      <c r="H1" s="506"/>
      <c r="I1" s="506"/>
      <c r="J1" s="506"/>
      <c r="K1" s="506"/>
      <c r="L1" s="506"/>
      <c r="M1" s="506"/>
      <c r="N1" s="506"/>
      <c r="O1" s="506"/>
      <c r="P1" s="507"/>
    </row>
    <row r="2" spans="1:16" ht="72.75" customHeight="1" thickBot="1">
      <c r="A2" s="479" t="str">
        <f>+'1.- Matriz de inversión'!A3:L3</f>
        <v>SUBPROYECTO: "NOMBRE DEL SUBPROYECTO XYZ"</v>
      </c>
      <c r="B2" s="480"/>
      <c r="C2" s="480"/>
      <c r="D2" s="480"/>
      <c r="E2" s="481"/>
      <c r="G2" s="69" t="s">
        <v>19</v>
      </c>
      <c r="H2" s="69" t="s">
        <v>20</v>
      </c>
      <c r="I2" s="69" t="s">
        <v>21</v>
      </c>
      <c r="J2" s="70" t="s">
        <v>22</v>
      </c>
      <c r="K2" s="70" t="s">
        <v>23</v>
      </c>
      <c r="L2" s="70" t="s">
        <v>24</v>
      </c>
      <c r="M2" s="70" t="s">
        <v>25</v>
      </c>
      <c r="N2" s="70" t="s">
        <v>26</v>
      </c>
      <c r="O2" s="70" t="s">
        <v>27</v>
      </c>
      <c r="P2" s="70" t="s">
        <v>28</v>
      </c>
    </row>
    <row r="3" spans="1:16" ht="15" thickBot="1">
      <c r="A3" s="493" t="s">
        <v>41</v>
      </c>
      <c r="B3" s="494"/>
      <c r="C3" s="494"/>
      <c r="D3" s="494"/>
      <c r="E3" s="495"/>
      <c r="G3" s="67">
        <v>1</v>
      </c>
      <c r="H3" s="68" t="s">
        <v>29</v>
      </c>
      <c r="I3" s="53">
        <v>1250</v>
      </c>
      <c r="J3" s="53">
        <f>(I3*0.0833)</f>
        <v>104.125</v>
      </c>
      <c r="K3" s="53">
        <f>(I3/12)</f>
        <v>104.16666666666667</v>
      </c>
      <c r="L3" s="53">
        <f>(460/12)</f>
        <v>38.333333333333336</v>
      </c>
      <c r="M3" s="53">
        <f>(I3*0.0945)</f>
        <v>118.125</v>
      </c>
      <c r="N3" s="53">
        <f>(I3*0.1155)</f>
        <v>144.375</v>
      </c>
      <c r="O3" s="53">
        <f>I3+J3+K3+L3-M3+N3</f>
        <v>1522.875</v>
      </c>
      <c r="P3" s="54">
        <f>O3*12</f>
        <v>18274.5</v>
      </c>
    </row>
    <row r="4" spans="1:16" ht="29.5" thickBot="1">
      <c r="A4" s="55" t="s">
        <v>118</v>
      </c>
      <c r="B4" s="55" t="s">
        <v>42</v>
      </c>
      <c r="C4" s="55" t="s">
        <v>43</v>
      </c>
      <c r="D4" s="55" t="s">
        <v>44</v>
      </c>
      <c r="E4" s="55" t="s">
        <v>45</v>
      </c>
      <c r="G4" s="31">
        <v>1</v>
      </c>
      <c r="H4" s="64" t="s">
        <v>30</v>
      </c>
      <c r="I4" s="65">
        <v>800</v>
      </c>
      <c r="J4" s="65">
        <f>(I4*0.0833)</f>
        <v>66.64</v>
      </c>
      <c r="K4" s="65">
        <f>(I4/12)</f>
        <v>66.666666666666671</v>
      </c>
      <c r="L4" s="65">
        <f>(460/12)</f>
        <v>38.333333333333336</v>
      </c>
      <c r="M4" s="65">
        <f>(I4*0.0945)</f>
        <v>75.599999999999994</v>
      </c>
      <c r="N4" s="65">
        <f>(I4*0.1155)</f>
        <v>92.4</v>
      </c>
      <c r="O4" s="65">
        <f>I4+J4+K4+L4-M4+N4</f>
        <v>988.43999999999994</v>
      </c>
      <c r="P4" s="66">
        <f>O4*12</f>
        <v>11861.279999999999</v>
      </c>
    </row>
    <row r="5" spans="1:16" ht="15" thickBot="1">
      <c r="A5" s="146" t="s">
        <v>119</v>
      </c>
      <c r="B5" s="51"/>
      <c r="C5" s="52">
        <v>600</v>
      </c>
      <c r="D5" s="53">
        <v>200</v>
      </c>
      <c r="E5" s="54">
        <f>C5*D5</f>
        <v>120000</v>
      </c>
      <c r="I5" s="46"/>
      <c r="J5" s="46"/>
      <c r="K5" s="46"/>
      <c r="L5" s="46"/>
      <c r="M5" s="46"/>
      <c r="N5" s="47" t="s">
        <v>32</v>
      </c>
      <c r="O5" s="3">
        <f>SUM(O3:O4)</f>
        <v>2511.3150000000001</v>
      </c>
      <c r="P5" s="3">
        <f>SUM(P3:P4)</f>
        <v>30135.78</v>
      </c>
    </row>
    <row r="6" spans="1:16">
      <c r="A6" s="147" t="s">
        <v>120</v>
      </c>
      <c r="B6" s="26"/>
      <c r="C6" s="48">
        <v>3500</v>
      </c>
      <c r="D6" s="32">
        <v>15</v>
      </c>
      <c r="E6" s="33">
        <f t="shared" ref="E6:E11" si="0">C6*D6</f>
        <v>52500</v>
      </c>
    </row>
    <row r="7" spans="1:16" ht="15" thickBot="1">
      <c r="A7" s="147" t="s">
        <v>121</v>
      </c>
      <c r="B7" s="26"/>
      <c r="C7" s="8">
        <v>50</v>
      </c>
      <c r="D7" s="32">
        <v>100</v>
      </c>
      <c r="E7" s="33">
        <f t="shared" si="0"/>
        <v>5000</v>
      </c>
    </row>
    <row r="8" spans="1:16" ht="15" thickBot="1">
      <c r="A8" s="147" t="s">
        <v>122</v>
      </c>
      <c r="B8" s="26"/>
      <c r="C8" s="49">
        <v>333</v>
      </c>
      <c r="D8" s="32">
        <v>10</v>
      </c>
      <c r="E8" s="33">
        <f t="shared" si="0"/>
        <v>3330</v>
      </c>
      <c r="G8" s="499" t="s">
        <v>33</v>
      </c>
      <c r="H8" s="500"/>
      <c r="I8" s="500"/>
      <c r="J8" s="500"/>
      <c r="K8" s="500"/>
      <c r="L8" s="500"/>
      <c r="M8" s="500"/>
      <c r="N8" s="500"/>
      <c r="O8" s="500"/>
      <c r="P8" s="501"/>
    </row>
    <row r="9" spans="1:16">
      <c r="A9" s="147"/>
      <c r="B9" s="26"/>
      <c r="C9" s="49"/>
      <c r="D9" s="32"/>
      <c r="E9" s="33">
        <f t="shared" si="0"/>
        <v>0</v>
      </c>
      <c r="G9" s="75">
        <v>1</v>
      </c>
      <c r="H9" s="76" t="s">
        <v>35</v>
      </c>
      <c r="I9" s="77">
        <v>800</v>
      </c>
      <c r="J9" s="77">
        <f>(I9*0.0833)</f>
        <v>66.64</v>
      </c>
      <c r="K9" s="77">
        <f>(I9/12)</f>
        <v>66.666666666666671</v>
      </c>
      <c r="L9" s="77">
        <f>(460/12)</f>
        <v>38.333333333333336</v>
      </c>
      <c r="M9" s="77">
        <f>(I9*0.0945)</f>
        <v>75.599999999999994</v>
      </c>
      <c r="N9" s="77">
        <f>(I9*0.1155)</f>
        <v>92.4</v>
      </c>
      <c r="O9" s="77">
        <f>(I9+J9+K9+L9-M9+N9)*G9</f>
        <v>988.43999999999994</v>
      </c>
      <c r="P9" s="78">
        <f>O9*12</f>
        <v>11861.279999999999</v>
      </c>
    </row>
    <row r="10" spans="1:16">
      <c r="A10" s="147"/>
      <c r="B10" s="26"/>
      <c r="C10" s="49"/>
      <c r="D10" s="32"/>
      <c r="E10" s="33">
        <f t="shared" si="0"/>
        <v>0</v>
      </c>
      <c r="G10" s="72">
        <v>2</v>
      </c>
      <c r="H10" s="6" t="s">
        <v>36</v>
      </c>
      <c r="I10" s="32">
        <v>500</v>
      </c>
      <c r="J10" s="32">
        <f>(I10*0.0833)</f>
        <v>41.65</v>
      </c>
      <c r="K10" s="32">
        <f>(I10/12)</f>
        <v>41.666666666666664</v>
      </c>
      <c r="L10" s="32">
        <f t="shared" ref="L10:L13" si="1">(460/12)</f>
        <v>38.333333333333336</v>
      </c>
      <c r="M10" s="32">
        <f>(I10*0.0945)</f>
        <v>47.25</v>
      </c>
      <c r="N10" s="32">
        <f>(I10*0.1155)</f>
        <v>57.75</v>
      </c>
      <c r="O10" s="32">
        <f>(I10+J10+K10+L10-M10+N10)*G10</f>
        <v>1264.3</v>
      </c>
      <c r="P10" s="33">
        <f>O10*12</f>
        <v>15171.599999999999</v>
      </c>
    </row>
    <row r="11" spans="1:16" ht="15" thickBot="1">
      <c r="A11" s="147"/>
      <c r="B11" s="36"/>
      <c r="C11" s="35"/>
      <c r="D11" s="34"/>
      <c r="E11" s="37">
        <f t="shared" si="0"/>
        <v>0</v>
      </c>
      <c r="G11" s="72">
        <v>2</v>
      </c>
      <c r="H11" s="6" t="s">
        <v>37</v>
      </c>
      <c r="I11" s="32">
        <v>500</v>
      </c>
      <c r="J11" s="32">
        <f>(I11*0.0833)</f>
        <v>41.65</v>
      </c>
      <c r="K11" s="32">
        <f>(I11/12)</f>
        <v>41.666666666666664</v>
      </c>
      <c r="L11" s="32">
        <f t="shared" si="1"/>
        <v>38.333333333333336</v>
      </c>
      <c r="M11" s="32">
        <f>(I11*0.0945)</f>
        <v>47.25</v>
      </c>
      <c r="N11" s="32">
        <f>(I11*0.1155)</f>
        <v>57.75</v>
      </c>
      <c r="O11" s="32">
        <f>(I11+J11+K11+L11-M11+N11)*G11</f>
        <v>1264.3</v>
      </c>
      <c r="P11" s="33">
        <f>O11*12</f>
        <v>15171.599999999999</v>
      </c>
    </row>
    <row r="12" spans="1:16" ht="29.5" thickBot="1">
      <c r="A12" s="496" t="s">
        <v>32</v>
      </c>
      <c r="B12" s="497"/>
      <c r="C12" s="498"/>
      <c r="D12" s="3">
        <f>SUM(D5:D11)</f>
        <v>325</v>
      </c>
      <c r="E12" s="3">
        <f>SUM(E5:E11)</f>
        <v>180830</v>
      </c>
      <c r="G12" s="72">
        <v>1</v>
      </c>
      <c r="H12" s="6" t="s">
        <v>38</v>
      </c>
      <c r="I12" s="32">
        <v>500</v>
      </c>
      <c r="J12" s="32">
        <f>(I12*0.0833)</f>
        <v>41.65</v>
      </c>
      <c r="K12" s="32">
        <f>(I12/12)</f>
        <v>41.666666666666664</v>
      </c>
      <c r="L12" s="32">
        <f t="shared" si="1"/>
        <v>38.333333333333336</v>
      </c>
      <c r="M12" s="32">
        <f>(I12*0.0945)</f>
        <v>47.25</v>
      </c>
      <c r="N12" s="32">
        <f>(I12*0.1155)</f>
        <v>57.75</v>
      </c>
      <c r="O12" s="32">
        <f>(I12+J12+K12+L12-M12+N12)*G12</f>
        <v>632.15</v>
      </c>
      <c r="P12" s="33">
        <f>O12*12</f>
        <v>7585.7999999999993</v>
      </c>
    </row>
    <row r="13" spans="1:16" ht="15" thickBot="1">
      <c r="A13" s="508"/>
      <c r="B13" s="509"/>
      <c r="C13" s="509"/>
      <c r="D13" s="509"/>
      <c r="E13" s="510"/>
      <c r="G13" s="73">
        <v>1</v>
      </c>
      <c r="H13" s="74" t="s">
        <v>40</v>
      </c>
      <c r="I13" s="65">
        <v>500</v>
      </c>
      <c r="J13" s="65">
        <f>(I13*0.0833)</f>
        <v>41.65</v>
      </c>
      <c r="K13" s="65">
        <f>(I13/12)</f>
        <v>41.666666666666664</v>
      </c>
      <c r="L13" s="65">
        <f t="shared" si="1"/>
        <v>38.333333333333336</v>
      </c>
      <c r="M13" s="65">
        <f>(I13*0.0945)</f>
        <v>47.25</v>
      </c>
      <c r="N13" s="65">
        <f>(I13*0.1155)</f>
        <v>57.75</v>
      </c>
      <c r="O13" s="65">
        <f>(I13+J13+K13+L13-M13+N13)*G13</f>
        <v>632.15</v>
      </c>
      <c r="P13" s="66">
        <f>O13*12</f>
        <v>7585.7999999999993</v>
      </c>
    </row>
    <row r="14" spans="1:16" ht="15" thickBot="1">
      <c r="A14" s="493" t="s">
        <v>108</v>
      </c>
      <c r="B14" s="494"/>
      <c r="C14" s="494"/>
      <c r="D14" s="494"/>
      <c r="E14" s="495"/>
      <c r="N14" s="4" t="s">
        <v>32</v>
      </c>
      <c r="O14" s="2">
        <f>SUM(O9:O13)</f>
        <v>4781.3399999999992</v>
      </c>
      <c r="P14" s="71">
        <f>SUM(P9:P13)</f>
        <v>57376.08</v>
      </c>
    </row>
    <row r="15" spans="1:16" ht="29.5" thickBot="1">
      <c r="A15" s="55" t="s">
        <v>110</v>
      </c>
      <c r="B15" s="55" t="s">
        <v>3</v>
      </c>
      <c r="C15" s="55" t="s">
        <v>43</v>
      </c>
      <c r="D15" s="55" t="s">
        <v>46</v>
      </c>
      <c r="E15" s="55" t="s">
        <v>45</v>
      </c>
    </row>
    <row r="16" spans="1:16">
      <c r="A16" s="56" t="s">
        <v>31</v>
      </c>
      <c r="B16" s="57"/>
      <c r="C16" s="51">
        <v>12</v>
      </c>
      <c r="D16" s="58">
        <v>55</v>
      </c>
      <c r="E16" s="59">
        <f t="shared" ref="E16:E24" si="2">C16*D16</f>
        <v>660</v>
      </c>
    </row>
    <row r="17" spans="1:5">
      <c r="A17" s="50" t="s">
        <v>34</v>
      </c>
      <c r="B17" s="27"/>
      <c r="C17" s="26">
        <v>12</v>
      </c>
      <c r="D17" s="38">
        <v>50</v>
      </c>
      <c r="E17" s="39">
        <f t="shared" si="2"/>
        <v>600</v>
      </c>
    </row>
    <row r="18" spans="1:5">
      <c r="A18" s="7" t="s">
        <v>47</v>
      </c>
      <c r="B18" s="26"/>
      <c r="C18" s="26">
        <v>960</v>
      </c>
      <c r="D18" s="38">
        <v>1</v>
      </c>
      <c r="E18" s="39">
        <f t="shared" si="2"/>
        <v>960</v>
      </c>
    </row>
    <row r="19" spans="1:5">
      <c r="A19" s="7" t="s">
        <v>47</v>
      </c>
      <c r="B19" s="26"/>
      <c r="C19" s="26">
        <v>200</v>
      </c>
      <c r="D19" s="38">
        <v>5</v>
      </c>
      <c r="E19" s="39">
        <f t="shared" si="2"/>
        <v>1000</v>
      </c>
    </row>
    <row r="20" spans="1:5" ht="19.5" customHeight="1">
      <c r="A20" s="7" t="s">
        <v>48</v>
      </c>
      <c r="B20" s="26"/>
      <c r="C20" s="40">
        <v>24</v>
      </c>
      <c r="D20" s="41">
        <v>75</v>
      </c>
      <c r="E20" s="42">
        <f t="shared" si="2"/>
        <v>1800</v>
      </c>
    </row>
    <row r="21" spans="1:5">
      <c r="A21" s="43" t="s">
        <v>49</v>
      </c>
      <c r="B21" s="44"/>
      <c r="C21" s="44">
        <v>12</v>
      </c>
      <c r="D21" s="45">
        <f>O14</f>
        <v>4781.3399999999992</v>
      </c>
      <c r="E21" s="42">
        <f t="shared" si="2"/>
        <v>57376.079999999987</v>
      </c>
    </row>
    <row r="22" spans="1:5">
      <c r="A22" s="43" t="s">
        <v>107</v>
      </c>
      <c r="B22" s="44"/>
      <c r="C22" s="44">
        <v>12</v>
      </c>
      <c r="D22" s="45">
        <f>+O5</f>
        <v>2511.3150000000001</v>
      </c>
      <c r="E22" s="42">
        <f t="shared" si="2"/>
        <v>30135.78</v>
      </c>
    </row>
    <row r="23" spans="1:5">
      <c r="A23" s="7" t="s">
        <v>39</v>
      </c>
      <c r="B23" s="26"/>
      <c r="C23" s="26">
        <v>250</v>
      </c>
      <c r="D23" s="38">
        <v>10</v>
      </c>
      <c r="E23" s="39">
        <f t="shared" si="2"/>
        <v>2500</v>
      </c>
    </row>
    <row r="24" spans="1:5" ht="15" thickBot="1">
      <c r="A24" s="60" t="s">
        <v>50</v>
      </c>
      <c r="B24" s="61"/>
      <c r="C24" s="61">
        <v>250</v>
      </c>
      <c r="D24" s="62">
        <v>35</v>
      </c>
      <c r="E24" s="63">
        <f t="shared" si="2"/>
        <v>8750</v>
      </c>
    </row>
    <row r="25" spans="1:5" ht="38.25" customHeight="1" thickBot="1">
      <c r="A25" s="496" t="s">
        <v>32</v>
      </c>
      <c r="B25" s="497"/>
      <c r="C25" s="498"/>
      <c r="D25" s="3">
        <f>SUM(D16:D24)</f>
        <v>7523.6549999999988</v>
      </c>
      <c r="E25" s="3">
        <f>SUM(E16:E24)</f>
        <v>103781.85999999999</v>
      </c>
    </row>
  </sheetData>
  <mergeCells count="9">
    <mergeCell ref="A14:E14"/>
    <mergeCell ref="A12:C12"/>
    <mergeCell ref="A25:C25"/>
    <mergeCell ref="G8:P8"/>
    <mergeCell ref="A1:E1"/>
    <mergeCell ref="G1:P1"/>
    <mergeCell ref="A2:E2"/>
    <mergeCell ref="A3:E3"/>
    <mergeCell ref="A13:E13"/>
  </mergeCells>
  <pageMargins left="0.7" right="0.7" top="0.75" bottom="0.75" header="0.3" footer="0.3"/>
  <pageSetup scale="70" orientation="portrait" r:id="rId1"/>
  <colBreaks count="1" manualBreakCount="1">
    <brk id="6"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opLeftCell="A36" zoomScaleNormal="100" workbookViewId="0">
      <selection activeCell="A50" sqref="A50"/>
    </sheetView>
  </sheetViews>
  <sheetFormatPr baseColWidth="10" defaultColWidth="11" defaultRowHeight="13"/>
  <cols>
    <col min="1" max="1" width="45.7265625" style="79" customWidth="1"/>
    <col min="2" max="6" width="15.7265625" style="79" customWidth="1"/>
    <col min="7" max="7" width="14.1796875" style="79" customWidth="1"/>
    <col min="8" max="16384" width="11" style="79"/>
  </cols>
  <sheetData>
    <row r="1" spans="1:9" ht="16" thickBot="1">
      <c r="A1" s="544" t="s">
        <v>369</v>
      </c>
      <c r="B1" s="545"/>
      <c r="C1" s="545"/>
      <c r="D1" s="545"/>
      <c r="E1" s="545"/>
      <c r="F1" s="545"/>
      <c r="G1" s="546"/>
    </row>
    <row r="2" spans="1:9" ht="58.5" customHeight="1" thickBot="1">
      <c r="A2" s="547" t="str">
        <f>+'1.- Matriz de inversión'!A3:L3</f>
        <v>SUBPROYECTO: "NOMBRE DEL SUBPROYECTO XYZ"</v>
      </c>
      <c r="B2" s="548"/>
      <c r="C2" s="548"/>
      <c r="D2" s="548"/>
      <c r="E2" s="548"/>
      <c r="F2" s="548"/>
      <c r="G2" s="549"/>
    </row>
    <row r="3" spans="1:9" ht="13.5" thickBot="1">
      <c r="A3" s="80" t="s">
        <v>114</v>
      </c>
      <c r="B3" s="81" t="s">
        <v>51</v>
      </c>
      <c r="C3" s="81" t="s">
        <v>52</v>
      </c>
      <c r="D3" s="81" t="s">
        <v>53</v>
      </c>
      <c r="E3" s="81" t="s">
        <v>54</v>
      </c>
      <c r="F3" s="81" t="s">
        <v>55</v>
      </c>
      <c r="G3" s="82" t="s">
        <v>56</v>
      </c>
    </row>
    <row r="4" spans="1:9" ht="14.5" customHeight="1">
      <c r="A4" s="83" t="str">
        <f>'4.-Proyección de ingresos-costo'!A5</f>
        <v>Producto A</v>
      </c>
      <c r="B4" s="84"/>
      <c r="C4" s="85">
        <f>+'4.-Proyección de ingresos-costo'!E5</f>
        <v>120000</v>
      </c>
      <c r="D4" s="85">
        <f>C4*0.07+C4</f>
        <v>128400</v>
      </c>
      <c r="E4" s="85">
        <f>D4*0.07+D4</f>
        <v>137388</v>
      </c>
      <c r="F4" s="85">
        <f>E4*0.07+E4</f>
        <v>147005.16</v>
      </c>
      <c r="G4" s="86">
        <f>F4*0.07+F4</f>
        <v>157295.52120000002</v>
      </c>
      <c r="I4" s="148"/>
    </row>
    <row r="5" spans="1:9">
      <c r="A5" s="87" t="str">
        <f>'4.-Proyección de ingresos-costo'!A6</f>
        <v>Producto B</v>
      </c>
      <c r="B5" s="88"/>
      <c r="C5" s="89">
        <f>'4.-Proyección de ingresos-costo'!E6</f>
        <v>52500</v>
      </c>
      <c r="D5" s="89">
        <f t="shared" ref="D5:G7" si="0">C5*0.07+C5</f>
        <v>56175</v>
      </c>
      <c r="E5" s="89">
        <f t="shared" si="0"/>
        <v>60107.25</v>
      </c>
      <c r="F5" s="89">
        <f t="shared" si="0"/>
        <v>64314.7575</v>
      </c>
      <c r="G5" s="90">
        <f t="shared" si="0"/>
        <v>68816.790525000004</v>
      </c>
      <c r="I5" s="148"/>
    </row>
    <row r="6" spans="1:9">
      <c r="A6" s="87" t="str">
        <f>'4.-Proyección de ingresos-costo'!A7</f>
        <v>Producto C</v>
      </c>
      <c r="B6" s="88"/>
      <c r="C6" s="89">
        <f>'4.-Proyección de ingresos-costo'!E7</f>
        <v>5000</v>
      </c>
      <c r="D6" s="89">
        <f t="shared" si="0"/>
        <v>5350</v>
      </c>
      <c r="E6" s="89">
        <f t="shared" si="0"/>
        <v>5724.5</v>
      </c>
      <c r="F6" s="89">
        <f t="shared" si="0"/>
        <v>6125.2150000000001</v>
      </c>
      <c r="G6" s="90">
        <f t="shared" si="0"/>
        <v>6553.9800500000001</v>
      </c>
    </row>
    <row r="7" spans="1:9" ht="13.5" thickBot="1">
      <c r="A7" s="87" t="str">
        <f>'4.-Proyección de ingresos-costo'!A8</f>
        <v>Producto D</v>
      </c>
      <c r="B7" s="88"/>
      <c r="C7" s="89">
        <f>'4.-Proyección de ingresos-costo'!E8</f>
        <v>3330</v>
      </c>
      <c r="D7" s="89">
        <f t="shared" si="0"/>
        <v>3563.1</v>
      </c>
      <c r="E7" s="89">
        <f t="shared" si="0"/>
        <v>3812.5169999999998</v>
      </c>
      <c r="F7" s="89">
        <f t="shared" si="0"/>
        <v>4079.3931899999998</v>
      </c>
      <c r="G7" s="90">
        <f t="shared" si="0"/>
        <v>4364.9507132999997</v>
      </c>
    </row>
    <row r="8" spans="1:9" ht="13.5" thickBot="1">
      <c r="A8" s="91" t="s">
        <v>57</v>
      </c>
      <c r="B8" s="92"/>
      <c r="C8" s="93">
        <f>SUM(C4:C7)</f>
        <v>180830</v>
      </c>
      <c r="D8" s="93">
        <f>SUM(D4:D7)</f>
        <v>193488.1</v>
      </c>
      <c r="E8" s="93">
        <f>SUM(E4:E7)</f>
        <v>207032.26699999999</v>
      </c>
      <c r="F8" s="93">
        <f>SUM(F4:F7)</f>
        <v>221524.52569000001</v>
      </c>
      <c r="G8" s="93">
        <f>SUM(G4:G7)</f>
        <v>237031.24248830005</v>
      </c>
    </row>
    <row r="9" spans="1:9" ht="13.5" thickBot="1">
      <c r="A9" s="94"/>
      <c r="B9" s="95"/>
      <c r="C9" s="96"/>
      <c r="D9" s="96"/>
      <c r="E9" s="96"/>
      <c r="F9" s="96"/>
      <c r="G9" s="97"/>
    </row>
    <row r="10" spans="1:9" ht="14.5" customHeight="1">
      <c r="A10" s="541" t="s">
        <v>112</v>
      </c>
      <c r="B10" s="542"/>
      <c r="C10" s="542"/>
      <c r="D10" s="542"/>
      <c r="E10" s="542"/>
      <c r="F10" s="542"/>
      <c r="G10" s="543"/>
    </row>
    <row r="11" spans="1:9">
      <c r="A11" s="98" t="s">
        <v>58</v>
      </c>
      <c r="B11" s="99">
        <f>+'1.- Matriz de inversión'!H227</f>
        <v>254366.23449999996</v>
      </c>
      <c r="C11" s="100"/>
      <c r="D11" s="100"/>
      <c r="E11" s="100"/>
      <c r="F11" s="100"/>
      <c r="G11" s="100"/>
    </row>
    <row r="12" spans="1:9">
      <c r="A12" s="98" t="s">
        <v>109</v>
      </c>
      <c r="B12" s="99">
        <f>+'1.- Matriz de inversión'!L231</f>
        <v>2616.25</v>
      </c>
      <c r="C12" s="100"/>
      <c r="D12" s="100"/>
      <c r="E12" s="100"/>
      <c r="F12" s="100"/>
      <c r="G12" s="100"/>
    </row>
    <row r="13" spans="1:9">
      <c r="A13" s="98" t="s">
        <v>59</v>
      </c>
      <c r="B13" s="101">
        <f>+'1.- Matriz de inversión'!L235</f>
        <v>12650</v>
      </c>
      <c r="C13" s="100"/>
      <c r="D13" s="100"/>
      <c r="E13" s="100"/>
      <c r="F13" s="100"/>
      <c r="G13" s="100"/>
    </row>
    <row r="14" spans="1:9">
      <c r="A14" s="102" t="s">
        <v>0</v>
      </c>
      <c r="B14" s="439">
        <f>B11+B12+B13</f>
        <v>269632.48449999996</v>
      </c>
      <c r="C14" s="100"/>
      <c r="D14" s="100"/>
      <c r="E14" s="100"/>
      <c r="F14" s="100"/>
      <c r="G14" s="100"/>
    </row>
    <row r="15" spans="1:9" ht="15" customHeight="1" thickBot="1">
      <c r="A15" s="538" t="s">
        <v>60</v>
      </c>
      <c r="B15" s="539"/>
      <c r="C15" s="539"/>
      <c r="D15" s="539"/>
      <c r="E15" s="539"/>
      <c r="F15" s="539"/>
      <c r="G15" s="540"/>
    </row>
    <row r="16" spans="1:9" ht="14.5" customHeight="1">
      <c r="A16" s="103" t="str">
        <f>'4.-Proyección de ingresos-costo'!A16</f>
        <v>Servicios públicos (agua, luz, eletricidad)</v>
      </c>
      <c r="B16" s="104"/>
      <c r="C16" s="105">
        <f>'4.-Proyección de ingresos-costo'!E16</f>
        <v>660</v>
      </c>
      <c r="D16" s="85">
        <f>C16*0.045+C16</f>
        <v>689.7</v>
      </c>
      <c r="E16" s="85">
        <f t="shared" ref="E16:G16" si="1">D16*0.045+D16</f>
        <v>720.73650000000009</v>
      </c>
      <c r="F16" s="85">
        <f t="shared" si="1"/>
        <v>753.16964250000012</v>
      </c>
      <c r="G16" s="85">
        <f t="shared" si="1"/>
        <v>787.06227641250007</v>
      </c>
    </row>
    <row r="17" spans="1:7">
      <c r="A17" s="103" t="str">
        <f>'4.-Proyección de ingresos-costo'!A17</f>
        <v>Servicio de internet/Televisión</v>
      </c>
      <c r="B17" s="106"/>
      <c r="C17" s="101">
        <f>'4.-Proyección de ingresos-costo'!E17</f>
        <v>600</v>
      </c>
      <c r="D17" s="85">
        <f t="shared" ref="D17:G24" si="2">C17*0.045+C17</f>
        <v>627</v>
      </c>
      <c r="E17" s="85">
        <f t="shared" si="2"/>
        <v>655.21500000000003</v>
      </c>
      <c r="F17" s="85">
        <f t="shared" si="2"/>
        <v>684.69967500000007</v>
      </c>
      <c r="G17" s="85">
        <f t="shared" si="2"/>
        <v>715.51116037500003</v>
      </c>
    </row>
    <row r="18" spans="1:7">
      <c r="A18" s="103" t="str">
        <f>'4.-Proyección de ingresos-costo'!A18</f>
        <v>Pago de alquiler de ingresos a atractivo</v>
      </c>
      <c r="B18" s="107"/>
      <c r="C18" s="108">
        <f>'4.-Proyección de ingresos-costo'!E18</f>
        <v>960</v>
      </c>
      <c r="D18" s="85">
        <f t="shared" si="2"/>
        <v>1003.2</v>
      </c>
      <c r="E18" s="85">
        <f t="shared" si="2"/>
        <v>1048.3440000000001</v>
      </c>
      <c r="F18" s="85">
        <f t="shared" si="2"/>
        <v>1095.5194800000002</v>
      </c>
      <c r="G18" s="85">
        <f t="shared" si="2"/>
        <v>1144.8178566000001</v>
      </c>
    </row>
    <row r="19" spans="1:7">
      <c r="A19" s="103" t="str">
        <f>'4.-Proyección de ingresos-costo'!A19</f>
        <v>Pago de alquiler de ingresos a atractivo</v>
      </c>
      <c r="B19" s="106"/>
      <c r="C19" s="108">
        <f>'4.-Proyección de ingresos-costo'!E19</f>
        <v>1000</v>
      </c>
      <c r="D19" s="85">
        <f t="shared" si="2"/>
        <v>1045</v>
      </c>
      <c r="E19" s="85">
        <f t="shared" si="2"/>
        <v>1092.0250000000001</v>
      </c>
      <c r="F19" s="85">
        <f t="shared" si="2"/>
        <v>1141.1661250000002</v>
      </c>
      <c r="G19" s="85">
        <f t="shared" si="2"/>
        <v>1192.5186006250001</v>
      </c>
    </row>
    <row r="20" spans="1:7">
      <c r="A20" s="103" t="str">
        <f>'4.-Proyección de ingresos-costo'!A20</f>
        <v xml:space="preserve">Mantenimiento de atractivos y de infraestructura </v>
      </c>
      <c r="B20" s="106"/>
      <c r="C20" s="108">
        <f>'4.-Proyección de ingresos-costo'!E20</f>
        <v>1800</v>
      </c>
      <c r="D20" s="85">
        <f t="shared" si="2"/>
        <v>1881</v>
      </c>
      <c r="E20" s="85">
        <f t="shared" si="2"/>
        <v>1965.645</v>
      </c>
      <c r="F20" s="85">
        <f t="shared" si="2"/>
        <v>2054.099025</v>
      </c>
      <c r="G20" s="85">
        <f t="shared" si="2"/>
        <v>2146.533481125</v>
      </c>
    </row>
    <row r="21" spans="1:7">
      <c r="A21" s="103" t="str">
        <f>'4.-Proyección de ingresos-costo'!A21</f>
        <v>Mano de obra directa</v>
      </c>
      <c r="B21" s="106"/>
      <c r="C21" s="108">
        <f>'4.-Proyección de ingresos-costo'!E21</f>
        <v>57376.079999999987</v>
      </c>
      <c r="D21" s="85">
        <f t="shared" si="2"/>
        <v>59958.003599999989</v>
      </c>
      <c r="E21" s="85">
        <f t="shared" si="2"/>
        <v>62656.113761999986</v>
      </c>
      <c r="F21" s="85">
        <f t="shared" si="2"/>
        <v>65475.638881289982</v>
      </c>
      <c r="G21" s="85">
        <f t="shared" si="2"/>
        <v>68422.042630948024</v>
      </c>
    </row>
    <row r="22" spans="1:7">
      <c r="A22" s="103" t="str">
        <f>'4.-Proyección de ingresos-costo'!A22</f>
        <v>Mano de obra indirecta</v>
      </c>
      <c r="B22" s="106"/>
      <c r="C22" s="108">
        <f>'4.-Proyección de ingresos-costo'!E22</f>
        <v>30135.78</v>
      </c>
      <c r="D22" s="85">
        <f t="shared" si="2"/>
        <v>31491.890099999997</v>
      </c>
      <c r="E22" s="85">
        <f t="shared" si="2"/>
        <v>32909.025154499999</v>
      </c>
      <c r="F22" s="85">
        <f t="shared" si="2"/>
        <v>34389.931286452498</v>
      </c>
      <c r="G22" s="85">
        <f t="shared" si="2"/>
        <v>35937.478194342861</v>
      </c>
    </row>
    <row r="23" spans="1:7">
      <c r="A23" s="103" t="str">
        <f>'4.-Proyección de ingresos-costo'!A23</f>
        <v>Transporte</v>
      </c>
      <c r="B23" s="109"/>
      <c r="C23" s="108">
        <f>'4.-Proyección de ingresos-costo'!E23</f>
        <v>2500</v>
      </c>
      <c r="D23" s="85">
        <f t="shared" si="2"/>
        <v>2612.5</v>
      </c>
      <c r="E23" s="85">
        <f t="shared" si="2"/>
        <v>2730.0625</v>
      </c>
      <c r="F23" s="85">
        <f t="shared" si="2"/>
        <v>2852.9153124999998</v>
      </c>
      <c r="G23" s="85">
        <f t="shared" si="2"/>
        <v>2981.2965015625</v>
      </c>
    </row>
    <row r="24" spans="1:7" ht="13.5" thickBot="1">
      <c r="A24" s="103" t="str">
        <f>'4.-Proyección de ingresos-costo'!A24</f>
        <v>Compra de víveres</v>
      </c>
      <c r="B24" s="110"/>
      <c r="C24" s="108">
        <f>'4.-Proyección de ingresos-costo'!E24</f>
        <v>8750</v>
      </c>
      <c r="D24" s="85">
        <f t="shared" si="2"/>
        <v>9143.75</v>
      </c>
      <c r="E24" s="85">
        <f t="shared" si="2"/>
        <v>9555.21875</v>
      </c>
      <c r="F24" s="85">
        <f t="shared" si="2"/>
        <v>9985.2035937500004</v>
      </c>
      <c r="G24" s="85">
        <f t="shared" si="2"/>
        <v>10434.537755468751</v>
      </c>
    </row>
    <row r="25" spans="1:7" ht="14.5" customHeight="1" thickBot="1">
      <c r="A25" s="111" t="s">
        <v>61</v>
      </c>
      <c r="B25" s="112"/>
      <c r="C25" s="113">
        <f>SUM(C16:C24)</f>
        <v>103781.85999999999</v>
      </c>
      <c r="D25" s="113">
        <f t="shared" ref="D25:G25" si="3">SUM(D16:D24)</f>
        <v>108452.04369999998</v>
      </c>
      <c r="E25" s="113">
        <f t="shared" si="3"/>
        <v>113332.38566649999</v>
      </c>
      <c r="F25" s="113">
        <f t="shared" si="3"/>
        <v>118432.34302149249</v>
      </c>
      <c r="G25" s="113">
        <f t="shared" si="3"/>
        <v>123761.79845745963</v>
      </c>
    </row>
    <row r="26" spans="1:7" ht="13.5" thickBot="1">
      <c r="A26" s="91" t="s">
        <v>62</v>
      </c>
      <c r="B26" s="92">
        <f>-B14</f>
        <v>-269632.48449999996</v>
      </c>
      <c r="C26" s="93">
        <f>C8-C25</f>
        <v>77048.140000000014</v>
      </c>
      <c r="D26" s="93">
        <f>D8-D25</f>
        <v>85036.056300000026</v>
      </c>
      <c r="E26" s="93">
        <f>E8-E25</f>
        <v>93699.881333500001</v>
      </c>
      <c r="F26" s="93">
        <f>F8-F25</f>
        <v>103092.18266850752</v>
      </c>
      <c r="G26" s="93">
        <f>G8-G25</f>
        <v>113269.44403084042</v>
      </c>
    </row>
    <row r="27" spans="1:7">
      <c r="A27" s="114"/>
      <c r="B27" s="115"/>
      <c r="C27" s="115"/>
      <c r="D27" s="115"/>
      <c r="E27" s="115"/>
      <c r="F27" s="115"/>
      <c r="G27" s="115"/>
    </row>
    <row r="28" spans="1:7" ht="13.5" thickBot="1"/>
    <row r="29" spans="1:7" ht="15" customHeight="1" thickBot="1">
      <c r="A29" s="536" t="s">
        <v>63</v>
      </c>
      <c r="B29" s="537"/>
    </row>
    <row r="30" spans="1:7" ht="26.5" thickBot="1">
      <c r="A30" s="130" t="s">
        <v>113</v>
      </c>
      <c r="B30" s="126">
        <v>0.12</v>
      </c>
      <c r="C30" s="117"/>
      <c r="D30" s="116" t="s">
        <v>64</v>
      </c>
      <c r="E30" s="118" t="s">
        <v>65</v>
      </c>
      <c r="F30" s="119" t="s">
        <v>66</v>
      </c>
    </row>
    <row r="31" spans="1:7">
      <c r="A31" s="131" t="s">
        <v>67</v>
      </c>
      <c r="B31" s="127">
        <f>+NPV(B30,C26:G26)+B26</f>
        <v>63433.516155410267</v>
      </c>
      <c r="C31" s="117"/>
      <c r="D31" s="120" t="s">
        <v>68</v>
      </c>
      <c r="E31" s="121" t="s">
        <v>69</v>
      </c>
      <c r="F31" s="122" t="s">
        <v>70</v>
      </c>
    </row>
    <row r="32" spans="1:7" ht="13.5" thickBot="1">
      <c r="A32" s="131" t="s">
        <v>71</v>
      </c>
      <c r="B32" s="128">
        <f>+IRR(B26:G26)</f>
        <v>0.20484826264605016</v>
      </c>
      <c r="C32" s="168" t="s">
        <v>142</v>
      </c>
      <c r="D32" s="123" t="s">
        <v>72</v>
      </c>
      <c r="E32" s="124" t="s">
        <v>73</v>
      </c>
      <c r="F32" s="125" t="s">
        <v>74</v>
      </c>
    </row>
    <row r="33" spans="1:7" ht="13.5" thickBot="1">
      <c r="A33" s="132" t="s">
        <v>75</v>
      </c>
      <c r="B33" s="129">
        <f>+(NPV(B30,C8:G8)+B8)/(NPV(B30,C25:G25)+B11)</f>
        <v>1.1193061822701351</v>
      </c>
      <c r="C33" s="167" t="s">
        <v>143</v>
      </c>
      <c r="D33" s="117"/>
      <c r="E33" s="117"/>
      <c r="F33" s="117"/>
    </row>
    <row r="35" spans="1:7" ht="30" customHeight="1" thickBot="1">
      <c r="A35" s="515" t="s">
        <v>161</v>
      </c>
      <c r="B35" s="515"/>
      <c r="C35" s="515"/>
      <c r="D35" s="515"/>
      <c r="E35" s="515"/>
      <c r="F35" s="515"/>
      <c r="G35" s="515"/>
    </row>
    <row r="36" spans="1:7" ht="146.15" customHeight="1">
      <c r="A36" s="526" t="s">
        <v>362</v>
      </c>
      <c r="B36" s="527"/>
      <c r="D36" s="523" t="s">
        <v>170</v>
      </c>
      <c r="E36" s="524"/>
      <c r="F36" s="524"/>
      <c r="G36" s="525"/>
    </row>
    <row r="37" spans="1:7">
      <c r="A37" s="172"/>
      <c r="B37" s="173"/>
      <c r="D37" s="174" t="s">
        <v>144</v>
      </c>
      <c r="E37" s="528" t="s">
        <v>145</v>
      </c>
      <c r="F37" s="528"/>
      <c r="G37" s="529"/>
    </row>
    <row r="38" spans="1:7" ht="14.5">
      <c r="A38" s="516" t="s">
        <v>129</v>
      </c>
      <c r="B38" s="517"/>
      <c r="D38" s="169" t="s">
        <v>146</v>
      </c>
      <c r="E38" s="530" t="s">
        <v>147</v>
      </c>
      <c r="F38" s="530"/>
      <c r="G38" s="531"/>
    </row>
    <row r="39" spans="1:7" ht="30" customHeight="1">
      <c r="A39" s="174" t="s">
        <v>130</v>
      </c>
      <c r="B39" s="175" t="s">
        <v>131</v>
      </c>
      <c r="D39" s="169" t="s">
        <v>148</v>
      </c>
      <c r="E39" s="530" t="s">
        <v>149</v>
      </c>
      <c r="F39" s="530"/>
      <c r="G39" s="531"/>
    </row>
    <row r="40" spans="1:7" ht="44" thickBot="1">
      <c r="A40" s="169" t="s">
        <v>132</v>
      </c>
      <c r="B40" s="176" t="s">
        <v>133</v>
      </c>
      <c r="D40" s="170" t="s">
        <v>150</v>
      </c>
      <c r="E40" s="532" t="s">
        <v>151</v>
      </c>
      <c r="F40" s="532"/>
      <c r="G40" s="533"/>
    </row>
    <row r="41" spans="1:7" ht="58.5" thickBot="1">
      <c r="A41" s="169" t="s">
        <v>134</v>
      </c>
      <c r="B41" s="308" t="s">
        <v>135</v>
      </c>
      <c r="D41" s="180"/>
      <c r="E41" s="180"/>
      <c r="F41" s="180"/>
      <c r="G41" s="180"/>
    </row>
    <row r="42" spans="1:7" ht="52.5" customHeight="1">
      <c r="A42" s="169" t="s">
        <v>136</v>
      </c>
      <c r="B42" s="177" t="s">
        <v>137</v>
      </c>
      <c r="D42" s="518" t="s">
        <v>160</v>
      </c>
      <c r="E42" s="519"/>
      <c r="F42" s="519"/>
      <c r="G42" s="520"/>
    </row>
    <row r="43" spans="1:7" ht="43.5">
      <c r="A43" s="169" t="s">
        <v>139</v>
      </c>
      <c r="B43" s="178" t="s">
        <v>138</v>
      </c>
      <c r="D43" s="174" t="s">
        <v>152</v>
      </c>
      <c r="E43" s="521" t="s">
        <v>153</v>
      </c>
      <c r="F43" s="521"/>
      <c r="G43" s="522"/>
    </row>
    <row r="44" spans="1:7" ht="43.5">
      <c r="A44" s="179"/>
      <c r="B44" s="173"/>
      <c r="D44" s="169">
        <v>1.2</v>
      </c>
      <c r="E44" s="166" t="s">
        <v>154</v>
      </c>
      <c r="F44" s="513" t="s">
        <v>157</v>
      </c>
      <c r="G44" s="514"/>
    </row>
    <row r="45" spans="1:7" ht="43.5">
      <c r="A45" s="179"/>
      <c r="B45" s="173"/>
      <c r="D45" s="169">
        <v>1.35</v>
      </c>
      <c r="E45" s="166" t="s">
        <v>155</v>
      </c>
      <c r="F45" s="513" t="s">
        <v>158</v>
      </c>
      <c r="G45" s="514"/>
    </row>
    <row r="46" spans="1:7" ht="58.5" thickBot="1">
      <c r="A46" s="534" t="s">
        <v>140</v>
      </c>
      <c r="B46" s="535"/>
      <c r="D46" s="170">
        <v>0.95</v>
      </c>
      <c r="E46" s="171" t="s">
        <v>156</v>
      </c>
      <c r="F46" s="513" t="s">
        <v>159</v>
      </c>
      <c r="G46" s="514"/>
    </row>
    <row r="47" spans="1:7" ht="125.5" customHeight="1" thickBot="1">
      <c r="A47" s="511" t="s">
        <v>141</v>
      </c>
      <c r="B47" s="512"/>
    </row>
  </sheetData>
  <mergeCells count="20">
    <mergeCell ref="A29:B29"/>
    <mergeCell ref="A15:G15"/>
    <mergeCell ref="A10:G10"/>
    <mergeCell ref="A1:G1"/>
    <mergeCell ref="A2:G2"/>
    <mergeCell ref="A47:B47"/>
    <mergeCell ref="F46:G46"/>
    <mergeCell ref="A35:G35"/>
    <mergeCell ref="A38:B38"/>
    <mergeCell ref="F44:G44"/>
    <mergeCell ref="F45:G45"/>
    <mergeCell ref="D42:G42"/>
    <mergeCell ref="E43:G43"/>
    <mergeCell ref="D36:G36"/>
    <mergeCell ref="A36:B36"/>
    <mergeCell ref="E37:G37"/>
    <mergeCell ref="E38:G38"/>
    <mergeCell ref="E39:G39"/>
    <mergeCell ref="E40:G40"/>
    <mergeCell ref="A46:B46"/>
  </mergeCells>
  <conditionalFormatting sqref="B32">
    <cfRule type="cellIs" dxfId="2" priority="1" operator="lessThan">
      <formula>0.12</formula>
    </cfRule>
    <cfRule type="cellIs" dxfId="1" priority="2" operator="greaterThan">
      <formula>0.12</formula>
    </cfRule>
    <cfRule type="cellIs" dxfId="0" priority="3" operator="greaterThan">
      <formula>12</formula>
    </cfRule>
  </conditionalFormatting>
  <pageMargins left="0.7" right="0.7" top="0.75" bottom="0.75" header="0.3" footer="0.3"/>
  <pageSetup paperSize="9" scale="63" orientation="portrait" r:id="rId1"/>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206"/>
  <sheetViews>
    <sheetView showGridLines="0" topLeftCell="A138" zoomScaleNormal="100" zoomScaleSheetLayoutView="110" workbookViewId="0">
      <selection activeCell="G138" sqref="G138"/>
    </sheetView>
  </sheetViews>
  <sheetFormatPr baseColWidth="10" defaultColWidth="11.54296875" defaultRowHeight="12.5"/>
  <cols>
    <col min="1" max="1" width="11.54296875" style="181"/>
    <col min="2" max="2" width="9.1796875" style="181" customWidth="1"/>
    <col min="3" max="3" width="46.453125" style="181" customWidth="1"/>
    <col min="4" max="4" width="8.7265625" style="181" customWidth="1"/>
    <col min="5" max="5" width="12.81640625" style="182" customWidth="1"/>
    <col min="6" max="6" width="15.26953125" style="182" customWidth="1"/>
    <col min="7" max="7" width="14.1796875" style="182" bestFit="1" customWidth="1"/>
    <col min="8" max="16384" width="11.54296875" style="181"/>
  </cols>
  <sheetData>
    <row r="3" spans="2:7" ht="13">
      <c r="B3" s="550"/>
      <c r="C3" s="550"/>
      <c r="D3" s="550"/>
      <c r="E3" s="550"/>
      <c r="F3" s="550"/>
      <c r="G3" s="550"/>
    </row>
    <row r="4" spans="2:7">
      <c r="B4" s="556" t="s">
        <v>370</v>
      </c>
      <c r="C4" s="556"/>
      <c r="D4" s="556"/>
      <c r="E4" s="556"/>
      <c r="F4" s="556"/>
      <c r="G4" s="556"/>
    </row>
    <row r="5" spans="2:7" ht="13">
      <c r="B5" s="189"/>
      <c r="C5" s="189"/>
      <c r="D5" s="189"/>
      <c r="E5" s="189"/>
      <c r="F5" s="189"/>
      <c r="G5" s="189"/>
    </row>
    <row r="6" spans="2:7" ht="18.75" customHeight="1">
      <c r="B6" s="551"/>
      <c r="C6" s="551"/>
      <c r="D6" s="551"/>
      <c r="E6" s="551"/>
      <c r="F6" s="551"/>
      <c r="G6" s="551"/>
    </row>
    <row r="7" spans="2:7" ht="47.5" customHeight="1">
      <c r="B7" s="559" t="str">
        <f>+'1.- Matriz de inversión'!A3</f>
        <v>SUBPROYECTO: "NOMBRE DEL SUBPROYECTO XYZ"</v>
      </c>
      <c r="C7" s="559"/>
      <c r="D7" s="559"/>
      <c r="E7" s="559"/>
      <c r="F7" s="559"/>
      <c r="G7" s="559"/>
    </row>
    <row r="8" spans="2:7" ht="15" customHeight="1">
      <c r="B8" s="557" t="s">
        <v>169</v>
      </c>
      <c r="C8" s="557"/>
      <c r="D8" s="557"/>
      <c r="E8" s="557"/>
      <c r="F8" s="557"/>
      <c r="G8" s="557"/>
    </row>
    <row r="9" spans="2:7" ht="15" customHeight="1">
      <c r="B9" s="558"/>
      <c r="C9" s="558"/>
      <c r="D9" s="558"/>
      <c r="E9" s="558"/>
      <c r="F9" s="558"/>
      <c r="G9" s="558"/>
    </row>
    <row r="10" spans="2:7" ht="15" customHeight="1">
      <c r="B10" s="563" t="s">
        <v>168</v>
      </c>
      <c r="C10" s="563" t="s">
        <v>167</v>
      </c>
      <c r="D10" s="563" t="s">
        <v>88</v>
      </c>
      <c r="E10" s="563" t="s">
        <v>89</v>
      </c>
      <c r="F10" s="566" t="s">
        <v>163</v>
      </c>
      <c r="G10" s="566" t="s">
        <v>162</v>
      </c>
    </row>
    <row r="11" spans="2:7" s="188" customFormat="1" ht="18" customHeight="1">
      <c r="B11" s="563"/>
      <c r="C11" s="563"/>
      <c r="D11" s="563"/>
      <c r="E11" s="563"/>
      <c r="F11" s="566"/>
      <c r="G11" s="566"/>
    </row>
    <row r="12" spans="2:7" s="188" customFormat="1" ht="18" customHeight="1">
      <c r="B12" s="190"/>
      <c r="C12" s="207" t="s">
        <v>175</v>
      </c>
      <c r="D12" s="190"/>
      <c r="E12" s="191"/>
      <c r="F12" s="192"/>
      <c r="G12" s="267"/>
    </row>
    <row r="13" spans="2:7" s="188" customFormat="1" ht="18" customHeight="1">
      <c r="B13" s="193">
        <v>1</v>
      </c>
      <c r="C13" s="305" t="s">
        <v>176</v>
      </c>
      <c r="D13" s="209" t="s">
        <v>172</v>
      </c>
      <c r="E13" s="210">
        <v>12.46</v>
      </c>
      <c r="F13" s="211">
        <v>9.4600000000000009</v>
      </c>
      <c r="G13" s="195">
        <f>ROUND(E13*F13,2)</f>
        <v>117.87</v>
      </c>
    </row>
    <row r="14" spans="2:7" s="188" customFormat="1" ht="18" customHeight="1">
      <c r="B14" s="193">
        <v>2</v>
      </c>
      <c r="C14" s="305" t="s">
        <v>177</v>
      </c>
      <c r="D14" s="209" t="s">
        <v>7</v>
      </c>
      <c r="E14" s="210">
        <v>88.12</v>
      </c>
      <c r="F14" s="211">
        <v>2.48</v>
      </c>
      <c r="G14" s="195">
        <f t="shared" ref="G14:G22" si="0">ROUND(E14*F14,2)</f>
        <v>218.54</v>
      </c>
    </row>
    <row r="15" spans="2:7" s="188" customFormat="1" ht="18" customHeight="1">
      <c r="B15" s="193"/>
      <c r="C15" s="208" t="s">
        <v>178</v>
      </c>
      <c r="D15" s="194"/>
      <c r="E15" s="195"/>
      <c r="F15" s="195"/>
      <c r="G15" s="195">
        <f t="shared" si="0"/>
        <v>0</v>
      </c>
    </row>
    <row r="16" spans="2:7" s="188" customFormat="1" ht="18" customHeight="1">
      <c r="B16" s="193">
        <v>3</v>
      </c>
      <c r="C16" s="212" t="s">
        <v>179</v>
      </c>
      <c r="D16" s="213" t="s">
        <v>128</v>
      </c>
      <c r="E16" s="214">
        <v>9</v>
      </c>
      <c r="F16" s="215">
        <v>11.33</v>
      </c>
      <c r="G16" s="195">
        <f t="shared" si="0"/>
        <v>101.97</v>
      </c>
    </row>
    <row r="17" spans="2:7" s="199" customFormat="1" ht="18" customHeight="1">
      <c r="B17" s="193">
        <v>4</v>
      </c>
      <c r="C17" s="263" t="s">
        <v>431</v>
      </c>
      <c r="D17" s="283" t="s">
        <v>361</v>
      </c>
      <c r="E17" s="265">
        <v>120</v>
      </c>
      <c r="F17" s="284">
        <v>12.35</v>
      </c>
      <c r="G17" s="195">
        <f t="shared" si="0"/>
        <v>1482</v>
      </c>
    </row>
    <row r="18" spans="2:7" s="188" customFormat="1" ht="18" customHeight="1">
      <c r="B18" s="193">
        <v>5</v>
      </c>
      <c r="C18" s="212" t="s">
        <v>180</v>
      </c>
      <c r="D18" s="213" t="s">
        <v>128</v>
      </c>
      <c r="E18" s="214">
        <v>4</v>
      </c>
      <c r="F18" s="215">
        <v>9.0500000000000007</v>
      </c>
      <c r="G18" s="195">
        <f t="shared" si="0"/>
        <v>36.200000000000003</v>
      </c>
    </row>
    <row r="19" spans="2:7" s="188" customFormat="1" ht="18" customHeight="1">
      <c r="B19" s="193">
        <v>6</v>
      </c>
      <c r="C19" s="212" t="s">
        <v>181</v>
      </c>
      <c r="D19" s="213" t="s">
        <v>128</v>
      </c>
      <c r="E19" s="214">
        <v>9</v>
      </c>
      <c r="F19" s="215">
        <v>13.66</v>
      </c>
      <c r="G19" s="195">
        <f t="shared" si="0"/>
        <v>122.94</v>
      </c>
    </row>
    <row r="20" spans="2:7" s="188" customFormat="1" ht="18" customHeight="1">
      <c r="B20" s="193">
        <v>7</v>
      </c>
      <c r="C20" s="212" t="s">
        <v>182</v>
      </c>
      <c r="D20" s="213" t="s">
        <v>7</v>
      </c>
      <c r="E20" s="214">
        <v>1.1299999999999999</v>
      </c>
      <c r="F20" s="215">
        <v>9.43</v>
      </c>
      <c r="G20" s="195">
        <f t="shared" si="0"/>
        <v>10.66</v>
      </c>
    </row>
    <row r="21" spans="2:7" s="188" customFormat="1" ht="18" customHeight="1">
      <c r="B21" s="193">
        <v>8</v>
      </c>
      <c r="C21" s="212" t="s">
        <v>183</v>
      </c>
      <c r="D21" s="213" t="s">
        <v>7</v>
      </c>
      <c r="E21" s="214">
        <v>144.26</v>
      </c>
      <c r="F21" s="215">
        <v>8.33</v>
      </c>
      <c r="G21" s="195">
        <f t="shared" si="0"/>
        <v>1201.69</v>
      </c>
    </row>
    <row r="22" spans="2:7" s="188" customFormat="1" ht="18" customHeight="1">
      <c r="B22" s="193">
        <v>9</v>
      </c>
      <c r="C22" s="212" t="s">
        <v>184</v>
      </c>
      <c r="D22" s="213" t="s">
        <v>8</v>
      </c>
      <c r="E22" s="214">
        <v>0.89</v>
      </c>
      <c r="F22" s="215">
        <v>105.25</v>
      </c>
      <c r="G22" s="195">
        <f t="shared" si="0"/>
        <v>93.67</v>
      </c>
    </row>
    <row r="23" spans="2:7" s="188" customFormat="1" ht="18" customHeight="1">
      <c r="B23" s="193">
        <v>10</v>
      </c>
      <c r="C23" s="212" t="s">
        <v>185</v>
      </c>
      <c r="D23" s="213" t="s">
        <v>7</v>
      </c>
      <c r="E23" s="214">
        <v>85.54</v>
      </c>
      <c r="F23" s="215">
        <v>5.0999999999999996</v>
      </c>
      <c r="G23" s="195">
        <f t="shared" ref="G23:G79" si="1">ROUND(E23*F23,2)</f>
        <v>436.25</v>
      </c>
    </row>
    <row r="24" spans="2:7" s="188" customFormat="1" ht="18" customHeight="1">
      <c r="B24" s="193">
        <v>11</v>
      </c>
      <c r="C24" s="212" t="s">
        <v>186</v>
      </c>
      <c r="D24" s="213" t="s">
        <v>8</v>
      </c>
      <c r="E24" s="214">
        <v>14.14</v>
      </c>
      <c r="F24" s="215">
        <v>15.94</v>
      </c>
      <c r="G24" s="195">
        <f t="shared" si="1"/>
        <v>225.39</v>
      </c>
    </row>
    <row r="25" spans="2:7" s="188" customFormat="1" ht="18" customHeight="1">
      <c r="B25" s="193"/>
      <c r="C25" s="216" t="s">
        <v>187</v>
      </c>
      <c r="D25" s="194"/>
      <c r="E25" s="195"/>
      <c r="F25" s="195"/>
      <c r="G25" s="195">
        <f t="shared" si="1"/>
        <v>0</v>
      </c>
    </row>
    <row r="26" spans="2:7" s="188" customFormat="1" ht="18" customHeight="1">
      <c r="B26" s="193">
        <v>12</v>
      </c>
      <c r="C26" s="217" t="s">
        <v>188</v>
      </c>
      <c r="D26" s="218" t="s">
        <v>7</v>
      </c>
      <c r="E26" s="219">
        <v>25.91</v>
      </c>
      <c r="F26" s="220">
        <v>22.62</v>
      </c>
      <c r="G26" s="195">
        <f t="shared" si="1"/>
        <v>586.08000000000004</v>
      </c>
    </row>
    <row r="27" spans="2:7" s="188" customFormat="1" ht="18" customHeight="1">
      <c r="B27" s="193">
        <v>13</v>
      </c>
      <c r="C27" s="217" t="s">
        <v>189</v>
      </c>
      <c r="D27" s="218" t="s">
        <v>128</v>
      </c>
      <c r="E27" s="219">
        <v>14</v>
      </c>
      <c r="F27" s="220">
        <v>16.97</v>
      </c>
      <c r="G27" s="195">
        <f t="shared" si="1"/>
        <v>237.58</v>
      </c>
    </row>
    <row r="28" spans="2:7" s="188" customFormat="1" ht="18" customHeight="1">
      <c r="B28" s="193">
        <v>14</v>
      </c>
      <c r="C28" s="217" t="s">
        <v>190</v>
      </c>
      <c r="D28" s="218" t="s">
        <v>171</v>
      </c>
      <c r="E28" s="219">
        <v>3463.64</v>
      </c>
      <c r="F28" s="220">
        <v>3.78</v>
      </c>
      <c r="G28" s="195">
        <f t="shared" si="1"/>
        <v>13092.56</v>
      </c>
    </row>
    <row r="29" spans="2:7" s="188" customFormat="1" ht="18" customHeight="1">
      <c r="B29" s="193">
        <v>15</v>
      </c>
      <c r="C29" s="217" t="s">
        <v>191</v>
      </c>
      <c r="D29" s="218" t="s">
        <v>128</v>
      </c>
      <c r="E29" s="219">
        <v>11</v>
      </c>
      <c r="F29" s="220">
        <v>49.14</v>
      </c>
      <c r="G29" s="195">
        <f t="shared" si="1"/>
        <v>540.54</v>
      </c>
    </row>
    <row r="30" spans="2:7" s="188" customFormat="1" ht="18" customHeight="1">
      <c r="B30" s="193">
        <v>16</v>
      </c>
      <c r="C30" s="217" t="s">
        <v>192</v>
      </c>
      <c r="D30" s="218" t="s">
        <v>7</v>
      </c>
      <c r="E30" s="219">
        <v>74.680000000000007</v>
      </c>
      <c r="F30" s="220">
        <v>22.72</v>
      </c>
      <c r="G30" s="195">
        <f t="shared" si="1"/>
        <v>1696.73</v>
      </c>
    </row>
    <row r="31" spans="2:7" s="188" customFormat="1" ht="18" customHeight="1">
      <c r="B31" s="193">
        <v>17</v>
      </c>
      <c r="C31" s="217" t="s">
        <v>193</v>
      </c>
      <c r="D31" s="218" t="s">
        <v>172</v>
      </c>
      <c r="E31" s="219">
        <v>7.31</v>
      </c>
      <c r="F31" s="220">
        <v>11.28</v>
      </c>
      <c r="G31" s="195">
        <f t="shared" si="1"/>
        <v>82.46</v>
      </c>
    </row>
    <row r="32" spans="2:7" s="188" customFormat="1" ht="18" customHeight="1">
      <c r="B32" s="193"/>
      <c r="C32" s="221" t="s">
        <v>194</v>
      </c>
      <c r="D32" s="194"/>
      <c r="E32" s="195"/>
      <c r="F32" s="195"/>
      <c r="G32" s="195">
        <f t="shared" si="1"/>
        <v>0</v>
      </c>
    </row>
    <row r="33" spans="2:7" s="188" customFormat="1" ht="18" customHeight="1">
      <c r="B33" s="193">
        <v>18</v>
      </c>
      <c r="C33" s="222" t="s">
        <v>195</v>
      </c>
      <c r="D33" s="223" t="s">
        <v>7</v>
      </c>
      <c r="E33" s="224">
        <v>193.14</v>
      </c>
      <c r="F33" s="225">
        <v>28.74</v>
      </c>
      <c r="G33" s="195">
        <f t="shared" si="1"/>
        <v>5550.84</v>
      </c>
    </row>
    <row r="34" spans="2:7" s="188" customFormat="1" ht="18" customHeight="1">
      <c r="B34" s="193">
        <v>19</v>
      </c>
      <c r="C34" s="222" t="s">
        <v>196</v>
      </c>
      <c r="D34" s="223" t="s">
        <v>172</v>
      </c>
      <c r="E34" s="224">
        <v>12.26</v>
      </c>
      <c r="F34" s="225">
        <v>54.66</v>
      </c>
      <c r="G34" s="195">
        <f t="shared" si="1"/>
        <v>670.13</v>
      </c>
    </row>
    <row r="35" spans="2:7" s="188" customFormat="1" ht="18" customHeight="1">
      <c r="B35" s="193">
        <v>20</v>
      </c>
      <c r="C35" s="222" t="s">
        <v>197</v>
      </c>
      <c r="D35" s="223" t="s">
        <v>172</v>
      </c>
      <c r="E35" s="224">
        <v>211.47</v>
      </c>
      <c r="F35" s="225">
        <v>5.12</v>
      </c>
      <c r="G35" s="195">
        <f t="shared" si="1"/>
        <v>1082.73</v>
      </c>
    </row>
    <row r="36" spans="2:7" s="188" customFormat="1" ht="18" customHeight="1">
      <c r="B36" s="193">
        <v>21</v>
      </c>
      <c r="C36" s="222" t="s">
        <v>198</v>
      </c>
      <c r="D36" s="223" t="s">
        <v>7</v>
      </c>
      <c r="E36" s="224">
        <v>194.42</v>
      </c>
      <c r="F36" s="225">
        <v>8.59</v>
      </c>
      <c r="G36" s="195">
        <f t="shared" si="1"/>
        <v>1670.07</v>
      </c>
    </row>
    <row r="37" spans="2:7" s="188" customFormat="1" ht="18" customHeight="1">
      <c r="B37" s="193">
        <v>22</v>
      </c>
      <c r="C37" s="222" t="s">
        <v>199</v>
      </c>
      <c r="D37" s="223" t="s">
        <v>7</v>
      </c>
      <c r="E37" s="224">
        <v>73.52</v>
      </c>
      <c r="F37" s="225">
        <v>11.51</v>
      </c>
      <c r="G37" s="195">
        <f t="shared" si="1"/>
        <v>846.22</v>
      </c>
    </row>
    <row r="38" spans="2:7" s="188" customFormat="1" ht="18" customHeight="1">
      <c r="B38" s="193">
        <v>23</v>
      </c>
      <c r="C38" s="222" t="s">
        <v>200</v>
      </c>
      <c r="D38" s="223" t="s">
        <v>7</v>
      </c>
      <c r="E38" s="224">
        <v>213.93</v>
      </c>
      <c r="F38" s="225">
        <v>7.71</v>
      </c>
      <c r="G38" s="195">
        <f t="shared" si="1"/>
        <v>1649.4</v>
      </c>
    </row>
    <row r="39" spans="2:7" s="188" customFormat="1" ht="18" customHeight="1">
      <c r="B39" s="193">
        <v>24</v>
      </c>
      <c r="C39" s="222" t="s">
        <v>201</v>
      </c>
      <c r="D39" s="223" t="s">
        <v>172</v>
      </c>
      <c r="E39" s="224">
        <v>3.76</v>
      </c>
      <c r="F39" s="225">
        <v>54.66</v>
      </c>
      <c r="G39" s="195">
        <f t="shared" si="1"/>
        <v>205.52</v>
      </c>
    </row>
    <row r="40" spans="2:7" s="188" customFormat="1" ht="18" customHeight="1">
      <c r="B40" s="193">
        <v>25</v>
      </c>
      <c r="C40" s="226" t="s">
        <v>202</v>
      </c>
      <c r="D40" s="223" t="s">
        <v>172</v>
      </c>
      <c r="E40" s="224">
        <v>6.61</v>
      </c>
      <c r="F40" s="225">
        <v>84.13</v>
      </c>
      <c r="G40" s="195">
        <f t="shared" si="1"/>
        <v>556.1</v>
      </c>
    </row>
    <row r="41" spans="2:7" s="188" customFormat="1" ht="18" customHeight="1">
      <c r="B41" s="193">
        <v>26</v>
      </c>
      <c r="C41" s="222" t="s">
        <v>203</v>
      </c>
      <c r="D41" s="223" t="s">
        <v>128</v>
      </c>
      <c r="E41" s="224">
        <v>1</v>
      </c>
      <c r="F41" s="225">
        <v>418.49</v>
      </c>
      <c r="G41" s="195">
        <f t="shared" si="1"/>
        <v>418.49</v>
      </c>
    </row>
    <row r="42" spans="2:7" s="188" customFormat="1" ht="18" customHeight="1">
      <c r="B42" s="193"/>
      <c r="C42" s="227" t="s">
        <v>204</v>
      </c>
      <c r="D42" s="196"/>
      <c r="E42" s="197"/>
      <c r="F42" s="197"/>
      <c r="G42" s="195">
        <f t="shared" si="1"/>
        <v>0</v>
      </c>
    </row>
    <row r="43" spans="2:7" s="188" customFormat="1" ht="18" customHeight="1">
      <c r="B43" s="193">
        <v>27</v>
      </c>
      <c r="C43" s="228" t="s">
        <v>205</v>
      </c>
      <c r="D43" s="229" t="s">
        <v>7</v>
      </c>
      <c r="E43" s="230">
        <v>194.42</v>
      </c>
      <c r="F43" s="231">
        <v>3.58</v>
      </c>
      <c r="G43" s="195">
        <f t="shared" si="1"/>
        <v>696.02</v>
      </c>
    </row>
    <row r="44" spans="2:7" s="188" customFormat="1" ht="18" customHeight="1">
      <c r="B44" s="193">
        <v>28</v>
      </c>
      <c r="C44" s="228" t="s">
        <v>206</v>
      </c>
      <c r="D44" s="229" t="s">
        <v>7</v>
      </c>
      <c r="E44" s="230">
        <v>73.52</v>
      </c>
      <c r="F44" s="231">
        <v>4.16</v>
      </c>
      <c r="G44" s="195">
        <f t="shared" si="1"/>
        <v>305.83999999999997</v>
      </c>
    </row>
    <row r="45" spans="2:7" s="188" customFormat="1" ht="18" customHeight="1">
      <c r="B45" s="193">
        <v>29</v>
      </c>
      <c r="C45" s="228" t="s">
        <v>207</v>
      </c>
      <c r="D45" s="229" t="s">
        <v>7</v>
      </c>
      <c r="E45" s="230">
        <v>420.21</v>
      </c>
      <c r="F45" s="231">
        <v>6.62</v>
      </c>
      <c r="G45" s="195">
        <f t="shared" si="1"/>
        <v>2781.79</v>
      </c>
    </row>
    <row r="46" spans="2:7" s="188" customFormat="1" ht="18" customHeight="1">
      <c r="B46" s="193">
        <v>30</v>
      </c>
      <c r="C46" s="228" t="s">
        <v>208</v>
      </c>
      <c r="D46" s="229" t="s">
        <v>7</v>
      </c>
      <c r="E46" s="230">
        <v>198.64</v>
      </c>
      <c r="F46" s="231">
        <v>12.33</v>
      </c>
      <c r="G46" s="195">
        <f t="shared" si="1"/>
        <v>2449.23</v>
      </c>
    </row>
    <row r="47" spans="2:7" s="188" customFormat="1" ht="18" customHeight="1">
      <c r="B47" s="193">
        <v>31</v>
      </c>
      <c r="C47" s="228" t="s">
        <v>209</v>
      </c>
      <c r="D47" s="229" t="s">
        <v>7</v>
      </c>
      <c r="E47" s="230">
        <v>2.38</v>
      </c>
      <c r="F47" s="231">
        <v>73.97</v>
      </c>
      <c r="G47" s="195">
        <f t="shared" si="1"/>
        <v>176.05</v>
      </c>
    </row>
    <row r="48" spans="2:7" s="188" customFormat="1" ht="18" customHeight="1">
      <c r="B48" s="193">
        <v>32</v>
      </c>
      <c r="C48" s="228" t="s">
        <v>210</v>
      </c>
      <c r="D48" s="229" t="s">
        <v>7</v>
      </c>
      <c r="E48" s="230">
        <v>278.87</v>
      </c>
      <c r="F48" s="231">
        <v>46.03</v>
      </c>
      <c r="G48" s="195">
        <f t="shared" si="1"/>
        <v>12836.39</v>
      </c>
    </row>
    <row r="49" spans="2:7" s="188" customFormat="1" ht="18" customHeight="1">
      <c r="B49" s="193">
        <v>33</v>
      </c>
      <c r="C49" s="228" t="s">
        <v>211</v>
      </c>
      <c r="D49" s="229" t="s">
        <v>7</v>
      </c>
      <c r="E49" s="230">
        <v>3.71</v>
      </c>
      <c r="F49" s="231">
        <v>72.709999999999994</v>
      </c>
      <c r="G49" s="195">
        <f t="shared" si="1"/>
        <v>269.75</v>
      </c>
    </row>
    <row r="50" spans="2:7" s="188" customFormat="1" ht="18" customHeight="1">
      <c r="B50" s="193">
        <v>34</v>
      </c>
      <c r="C50" s="228" t="s">
        <v>212</v>
      </c>
      <c r="D50" s="229" t="s">
        <v>7</v>
      </c>
      <c r="E50" s="230">
        <v>21.03</v>
      </c>
      <c r="F50" s="231">
        <v>71.45</v>
      </c>
      <c r="G50" s="195">
        <f t="shared" si="1"/>
        <v>1502.59</v>
      </c>
    </row>
    <row r="51" spans="2:7" s="188" customFormat="1" ht="18" customHeight="1">
      <c r="B51" s="193">
        <v>35</v>
      </c>
      <c r="C51" s="228" t="s">
        <v>213</v>
      </c>
      <c r="D51" s="229" t="s">
        <v>7</v>
      </c>
      <c r="E51" s="230">
        <v>5.97</v>
      </c>
      <c r="F51" s="231">
        <v>30.23</v>
      </c>
      <c r="G51" s="195">
        <f t="shared" si="1"/>
        <v>180.47</v>
      </c>
    </row>
    <row r="52" spans="2:7" s="188" customFormat="1" ht="18" customHeight="1">
      <c r="B52" s="193">
        <v>36</v>
      </c>
      <c r="C52" s="228" t="s">
        <v>214</v>
      </c>
      <c r="D52" s="229" t="s">
        <v>7</v>
      </c>
      <c r="E52" s="230">
        <v>45.23</v>
      </c>
      <c r="F52" s="231">
        <v>53.81</v>
      </c>
      <c r="G52" s="195">
        <f t="shared" si="1"/>
        <v>2433.83</v>
      </c>
    </row>
    <row r="53" spans="2:7" s="188" customFormat="1" ht="18" customHeight="1">
      <c r="B53" s="193">
        <v>37</v>
      </c>
      <c r="C53" s="228" t="s">
        <v>215</v>
      </c>
      <c r="D53" s="229" t="s">
        <v>7</v>
      </c>
      <c r="E53" s="230">
        <v>21.03</v>
      </c>
      <c r="F53" s="231">
        <v>71.45</v>
      </c>
      <c r="G53" s="195">
        <f t="shared" si="1"/>
        <v>1502.59</v>
      </c>
    </row>
    <row r="54" spans="2:7" s="188" customFormat="1" ht="18" customHeight="1">
      <c r="B54" s="193">
        <v>38</v>
      </c>
      <c r="C54" s="228" t="s">
        <v>216</v>
      </c>
      <c r="D54" s="229" t="s">
        <v>7</v>
      </c>
      <c r="E54" s="230">
        <v>53.41</v>
      </c>
      <c r="F54" s="231">
        <v>39.85</v>
      </c>
      <c r="G54" s="195">
        <f t="shared" si="1"/>
        <v>2128.39</v>
      </c>
    </row>
    <row r="55" spans="2:7" s="188" customFormat="1" ht="18" customHeight="1">
      <c r="B55" s="193">
        <v>39</v>
      </c>
      <c r="C55" s="228" t="s">
        <v>217</v>
      </c>
      <c r="D55" s="229" t="s">
        <v>7</v>
      </c>
      <c r="E55" s="230">
        <v>25.91</v>
      </c>
      <c r="F55" s="231">
        <v>77.12</v>
      </c>
      <c r="G55" s="195">
        <f t="shared" si="1"/>
        <v>1998.18</v>
      </c>
    </row>
    <row r="56" spans="2:7" s="188" customFormat="1" ht="18" customHeight="1">
      <c r="B56" s="193">
        <v>40</v>
      </c>
      <c r="C56" s="228" t="s">
        <v>218</v>
      </c>
      <c r="D56" s="229" t="s">
        <v>7</v>
      </c>
      <c r="E56" s="230">
        <v>14.01</v>
      </c>
      <c r="F56" s="231">
        <v>37.21</v>
      </c>
      <c r="G56" s="195">
        <f t="shared" si="1"/>
        <v>521.30999999999995</v>
      </c>
    </row>
    <row r="57" spans="2:7" s="188" customFormat="1" ht="18" customHeight="1">
      <c r="B57" s="193">
        <v>41</v>
      </c>
      <c r="C57" s="228" t="s">
        <v>219</v>
      </c>
      <c r="D57" s="229" t="s">
        <v>172</v>
      </c>
      <c r="E57" s="230">
        <v>171.99</v>
      </c>
      <c r="F57" s="231">
        <v>12.45</v>
      </c>
      <c r="G57" s="195">
        <f t="shared" si="1"/>
        <v>2141.2800000000002</v>
      </c>
    </row>
    <row r="58" spans="2:7" s="188" customFormat="1" ht="18" customHeight="1">
      <c r="B58" s="193">
        <v>42</v>
      </c>
      <c r="C58" s="228" t="s">
        <v>220</v>
      </c>
      <c r="D58" s="229" t="s">
        <v>7</v>
      </c>
      <c r="E58" s="230">
        <v>26.69</v>
      </c>
      <c r="F58" s="231">
        <v>59.14</v>
      </c>
      <c r="G58" s="195">
        <f t="shared" si="1"/>
        <v>1578.45</v>
      </c>
    </row>
    <row r="59" spans="2:7" s="188" customFormat="1" ht="18" customHeight="1">
      <c r="B59" s="193"/>
      <c r="C59" s="232" t="s">
        <v>221</v>
      </c>
      <c r="D59" s="193"/>
      <c r="E59" s="195"/>
      <c r="F59" s="195"/>
      <c r="G59" s="195">
        <f t="shared" si="1"/>
        <v>0</v>
      </c>
    </row>
    <row r="60" spans="2:7" s="188" customFormat="1" ht="18" customHeight="1">
      <c r="B60" s="202" t="s">
        <v>437</v>
      </c>
      <c r="C60" s="233" t="s">
        <v>222</v>
      </c>
      <c r="D60" s="234" t="s">
        <v>7</v>
      </c>
      <c r="E60" s="235">
        <v>14.16</v>
      </c>
      <c r="F60" s="236">
        <v>184.55</v>
      </c>
      <c r="G60" s="195">
        <f t="shared" si="1"/>
        <v>2613.23</v>
      </c>
    </row>
    <row r="61" spans="2:7" s="188" customFormat="1" ht="18" customHeight="1">
      <c r="B61" s="440">
        <f>B60+1</f>
        <v>44</v>
      </c>
      <c r="C61" s="233" t="s">
        <v>223</v>
      </c>
      <c r="D61" s="234" t="s">
        <v>7</v>
      </c>
      <c r="E61" s="235">
        <v>14.04</v>
      </c>
      <c r="F61" s="236">
        <v>106.14</v>
      </c>
      <c r="G61" s="195">
        <f t="shared" si="1"/>
        <v>1490.21</v>
      </c>
    </row>
    <row r="62" spans="2:7" s="188" customFormat="1" ht="18" customHeight="1">
      <c r="B62" s="440">
        <f t="shared" ref="B62:B82" si="2">B61+1</f>
        <v>45</v>
      </c>
      <c r="C62" s="233" t="s">
        <v>224</v>
      </c>
      <c r="D62" s="234" t="s">
        <v>7</v>
      </c>
      <c r="E62" s="235">
        <v>8.93</v>
      </c>
      <c r="F62" s="236">
        <v>150.13</v>
      </c>
      <c r="G62" s="195">
        <f t="shared" si="1"/>
        <v>1340.66</v>
      </c>
    </row>
    <row r="63" spans="2:7" s="188" customFormat="1" ht="18" customHeight="1">
      <c r="B63" s="440">
        <f t="shared" si="2"/>
        <v>46</v>
      </c>
      <c r="C63" s="233" t="s">
        <v>225</v>
      </c>
      <c r="D63" s="234" t="s">
        <v>172</v>
      </c>
      <c r="E63" s="235">
        <v>4.53</v>
      </c>
      <c r="F63" s="236">
        <v>185.02</v>
      </c>
      <c r="G63" s="195">
        <f t="shared" si="1"/>
        <v>838.14</v>
      </c>
    </row>
    <row r="64" spans="2:7" s="188" customFormat="1" ht="18" customHeight="1">
      <c r="B64" s="440">
        <f t="shared" si="2"/>
        <v>47</v>
      </c>
      <c r="C64" s="233" t="s">
        <v>226</v>
      </c>
      <c r="D64" s="234" t="s">
        <v>128</v>
      </c>
      <c r="E64" s="235">
        <v>1.03</v>
      </c>
      <c r="F64" s="236">
        <v>352.95</v>
      </c>
      <c r="G64" s="195">
        <f t="shared" si="1"/>
        <v>363.54</v>
      </c>
    </row>
    <row r="65" spans="2:7" s="188" customFormat="1" ht="18" customHeight="1">
      <c r="B65" s="440">
        <f t="shared" si="2"/>
        <v>48</v>
      </c>
      <c r="C65" s="233" t="s">
        <v>227</v>
      </c>
      <c r="D65" s="234" t="s">
        <v>7</v>
      </c>
      <c r="E65" s="235">
        <v>16.71</v>
      </c>
      <c r="F65" s="236">
        <v>70.62</v>
      </c>
      <c r="G65" s="195">
        <f t="shared" si="1"/>
        <v>1180.06</v>
      </c>
    </row>
    <row r="66" spans="2:7" s="188" customFormat="1" ht="18" customHeight="1">
      <c r="B66" s="440">
        <f t="shared" si="2"/>
        <v>49</v>
      </c>
      <c r="C66" s="233" t="s">
        <v>228</v>
      </c>
      <c r="D66" s="234" t="s">
        <v>128</v>
      </c>
      <c r="E66" s="235">
        <v>5</v>
      </c>
      <c r="F66" s="236">
        <v>260.18</v>
      </c>
      <c r="G66" s="195">
        <f t="shared" si="1"/>
        <v>1300.9000000000001</v>
      </c>
    </row>
    <row r="67" spans="2:7" s="188" customFormat="1" ht="18" customHeight="1">
      <c r="B67" s="440">
        <f t="shared" si="2"/>
        <v>50</v>
      </c>
      <c r="C67" s="233" t="s">
        <v>229</v>
      </c>
      <c r="D67" s="234" t="s">
        <v>128</v>
      </c>
      <c r="E67" s="235">
        <v>8</v>
      </c>
      <c r="F67" s="236">
        <v>257.52999999999997</v>
      </c>
      <c r="G67" s="195">
        <f t="shared" si="1"/>
        <v>2060.2399999999998</v>
      </c>
    </row>
    <row r="68" spans="2:7" s="188" customFormat="1" ht="18" customHeight="1">
      <c r="B68" s="440">
        <f t="shared" si="2"/>
        <v>51</v>
      </c>
      <c r="C68" s="233" t="s">
        <v>230</v>
      </c>
      <c r="D68" s="234" t="s">
        <v>7</v>
      </c>
      <c r="E68" s="235">
        <v>17.43</v>
      </c>
      <c r="F68" s="236">
        <v>292.95999999999998</v>
      </c>
      <c r="G68" s="195">
        <f t="shared" si="1"/>
        <v>5106.29</v>
      </c>
    </row>
    <row r="69" spans="2:7" s="188" customFormat="1" ht="18" customHeight="1">
      <c r="B69" s="440">
        <f t="shared" si="2"/>
        <v>52</v>
      </c>
      <c r="C69" s="233" t="s">
        <v>231</v>
      </c>
      <c r="D69" s="234" t="s">
        <v>172</v>
      </c>
      <c r="E69" s="235">
        <v>6.33</v>
      </c>
      <c r="F69" s="236">
        <v>198.8</v>
      </c>
      <c r="G69" s="195">
        <f t="shared" si="1"/>
        <v>1258.4000000000001</v>
      </c>
    </row>
    <row r="70" spans="2:7" s="188" customFormat="1" ht="18" customHeight="1">
      <c r="B70" s="440">
        <f t="shared" si="2"/>
        <v>53</v>
      </c>
      <c r="C70" s="233" t="s">
        <v>232</v>
      </c>
      <c r="D70" s="234" t="s">
        <v>172</v>
      </c>
      <c r="E70" s="235">
        <v>3.96</v>
      </c>
      <c r="F70" s="236">
        <v>108</v>
      </c>
      <c r="G70" s="195">
        <f t="shared" si="1"/>
        <v>427.68</v>
      </c>
    </row>
    <row r="71" spans="2:7" s="188" customFormat="1" ht="18" customHeight="1">
      <c r="B71" s="440">
        <f t="shared" si="2"/>
        <v>54</v>
      </c>
      <c r="C71" s="233" t="s">
        <v>233</v>
      </c>
      <c r="D71" s="234" t="s">
        <v>7</v>
      </c>
      <c r="E71" s="235">
        <v>3.3</v>
      </c>
      <c r="F71" s="236">
        <v>122.83</v>
      </c>
      <c r="G71" s="195">
        <f t="shared" si="1"/>
        <v>405.34</v>
      </c>
    </row>
    <row r="72" spans="2:7" s="188" customFormat="1" ht="18" customHeight="1">
      <c r="B72" s="440">
        <f t="shared" si="2"/>
        <v>55</v>
      </c>
      <c r="C72" s="233" t="s">
        <v>234</v>
      </c>
      <c r="D72" s="234" t="s">
        <v>172</v>
      </c>
      <c r="E72" s="235">
        <v>7.78</v>
      </c>
      <c r="F72" s="236">
        <v>237.44</v>
      </c>
      <c r="G72" s="195">
        <f t="shared" si="1"/>
        <v>1847.28</v>
      </c>
    </row>
    <row r="73" spans="2:7" s="188" customFormat="1" ht="18" customHeight="1">
      <c r="B73" s="440">
        <f t="shared" si="2"/>
        <v>56</v>
      </c>
      <c r="C73" s="233" t="s">
        <v>235</v>
      </c>
      <c r="D73" s="234" t="s">
        <v>7</v>
      </c>
      <c r="E73" s="235">
        <v>16.09</v>
      </c>
      <c r="F73" s="236">
        <v>128.56</v>
      </c>
      <c r="G73" s="195">
        <f t="shared" si="1"/>
        <v>2068.5300000000002</v>
      </c>
    </row>
    <row r="74" spans="2:7" s="188" customFormat="1" ht="18" customHeight="1">
      <c r="B74" s="440">
        <f t="shared" si="2"/>
        <v>57</v>
      </c>
      <c r="C74" s="233" t="s">
        <v>236</v>
      </c>
      <c r="D74" s="234" t="s">
        <v>7</v>
      </c>
      <c r="E74" s="235">
        <v>32.630000000000003</v>
      </c>
      <c r="F74" s="236">
        <v>155.58000000000001</v>
      </c>
      <c r="G74" s="195">
        <f t="shared" si="1"/>
        <v>5076.58</v>
      </c>
    </row>
    <row r="75" spans="2:7" s="188" customFormat="1" ht="18" customHeight="1">
      <c r="B75" s="440">
        <f t="shared" si="2"/>
        <v>58</v>
      </c>
      <c r="C75" s="233" t="s">
        <v>237</v>
      </c>
      <c r="D75" s="234" t="s">
        <v>128</v>
      </c>
      <c r="E75" s="235">
        <v>6</v>
      </c>
      <c r="F75" s="236">
        <v>569.26</v>
      </c>
      <c r="G75" s="195">
        <f t="shared" si="1"/>
        <v>3415.56</v>
      </c>
    </row>
    <row r="76" spans="2:7" s="188" customFormat="1" ht="18" customHeight="1">
      <c r="B76" s="440">
        <f t="shared" si="2"/>
        <v>59</v>
      </c>
      <c r="C76" s="233" t="s">
        <v>238</v>
      </c>
      <c r="D76" s="234" t="s">
        <v>128</v>
      </c>
      <c r="E76" s="235">
        <v>1</v>
      </c>
      <c r="F76" s="236">
        <v>114.51</v>
      </c>
      <c r="G76" s="195">
        <f t="shared" si="1"/>
        <v>114.51</v>
      </c>
    </row>
    <row r="77" spans="2:7" s="188" customFormat="1" ht="18" customHeight="1">
      <c r="B77" s="440">
        <f t="shared" si="2"/>
        <v>60</v>
      </c>
      <c r="C77" s="233" t="s">
        <v>239</v>
      </c>
      <c r="D77" s="234" t="s">
        <v>128</v>
      </c>
      <c r="E77" s="235">
        <v>3</v>
      </c>
      <c r="F77" s="236">
        <v>1091.33</v>
      </c>
      <c r="G77" s="195">
        <f t="shared" si="1"/>
        <v>3273.99</v>
      </c>
    </row>
    <row r="78" spans="2:7" s="188" customFormat="1" ht="18" customHeight="1">
      <c r="B78" s="202"/>
      <c r="C78" s="237" t="s">
        <v>240</v>
      </c>
      <c r="D78" s="203"/>
      <c r="E78" s="198"/>
      <c r="F78" s="198"/>
      <c r="G78" s="195">
        <f t="shared" si="1"/>
        <v>0</v>
      </c>
    </row>
    <row r="79" spans="2:7" s="188" customFormat="1" ht="18" customHeight="1">
      <c r="B79" s="440" t="s">
        <v>264</v>
      </c>
      <c r="C79" s="238" t="s">
        <v>241</v>
      </c>
      <c r="D79" s="239" t="s">
        <v>7</v>
      </c>
      <c r="E79" s="240">
        <v>45.23</v>
      </c>
      <c r="F79" s="241">
        <v>121.59</v>
      </c>
      <c r="G79" s="195">
        <f t="shared" si="1"/>
        <v>5499.52</v>
      </c>
    </row>
    <row r="80" spans="2:7" s="188" customFormat="1" ht="18" customHeight="1">
      <c r="B80" s="440">
        <f t="shared" si="2"/>
        <v>62</v>
      </c>
      <c r="C80" s="238" t="s">
        <v>242</v>
      </c>
      <c r="D80" s="239" t="s">
        <v>7</v>
      </c>
      <c r="E80" s="240">
        <v>91.41</v>
      </c>
      <c r="F80" s="241">
        <v>22.96</v>
      </c>
      <c r="G80" s="195">
        <f t="shared" ref="G80:G128" si="3">ROUND(E80*F80,2)</f>
        <v>2098.77</v>
      </c>
    </row>
    <row r="81" spans="2:7" s="188" customFormat="1" ht="18" customHeight="1">
      <c r="B81" s="440">
        <f t="shared" si="2"/>
        <v>63</v>
      </c>
      <c r="C81" s="238" t="s">
        <v>243</v>
      </c>
      <c r="D81" s="239" t="s">
        <v>7</v>
      </c>
      <c r="E81" s="240">
        <v>41.43</v>
      </c>
      <c r="F81" s="241">
        <v>23.12</v>
      </c>
      <c r="G81" s="195">
        <f t="shared" si="3"/>
        <v>957.86</v>
      </c>
    </row>
    <row r="82" spans="2:7" s="188" customFormat="1" ht="18" customHeight="1">
      <c r="B82" s="440">
        <f t="shared" si="2"/>
        <v>64</v>
      </c>
      <c r="C82" s="238" t="s">
        <v>244</v>
      </c>
      <c r="D82" s="239" t="s">
        <v>172</v>
      </c>
      <c r="E82" s="240">
        <v>32.909999999999997</v>
      </c>
      <c r="F82" s="241">
        <v>22.16</v>
      </c>
      <c r="G82" s="195">
        <f t="shared" si="3"/>
        <v>729.29</v>
      </c>
    </row>
    <row r="83" spans="2:7" s="188" customFormat="1" ht="18" customHeight="1">
      <c r="B83" s="193"/>
      <c r="C83" s="242" t="s">
        <v>245</v>
      </c>
      <c r="D83" s="203"/>
      <c r="E83" s="198"/>
      <c r="F83" s="198"/>
      <c r="G83" s="195">
        <f t="shared" si="3"/>
        <v>0</v>
      </c>
    </row>
    <row r="84" spans="2:7" s="188" customFormat="1" ht="18" customHeight="1">
      <c r="B84" s="202" t="s">
        <v>290</v>
      </c>
      <c r="C84" s="243" t="s">
        <v>246</v>
      </c>
      <c r="D84" s="244" t="s">
        <v>174</v>
      </c>
      <c r="E84" s="245">
        <v>11</v>
      </c>
      <c r="F84" s="246">
        <v>32.4</v>
      </c>
      <c r="G84" s="195">
        <f t="shared" si="3"/>
        <v>356.4</v>
      </c>
    </row>
    <row r="85" spans="2:7" s="188" customFormat="1" ht="18" customHeight="1">
      <c r="B85" s="440">
        <f>B84+1</f>
        <v>66</v>
      </c>
      <c r="C85" s="243" t="s">
        <v>173</v>
      </c>
      <c r="D85" s="244" t="s">
        <v>174</v>
      </c>
      <c r="E85" s="245">
        <v>19</v>
      </c>
      <c r="F85" s="246">
        <v>31.69</v>
      </c>
      <c r="G85" s="195">
        <f t="shared" si="3"/>
        <v>602.11</v>
      </c>
    </row>
    <row r="86" spans="2:7" s="188" customFormat="1" ht="18" customHeight="1">
      <c r="B86" s="440">
        <f t="shared" ref="B86:B90" si="4">B85+1</f>
        <v>67</v>
      </c>
      <c r="C86" s="243" t="s">
        <v>247</v>
      </c>
      <c r="D86" s="244" t="s">
        <v>172</v>
      </c>
      <c r="E86" s="245">
        <v>73</v>
      </c>
      <c r="F86" s="246">
        <v>4.95</v>
      </c>
      <c r="G86" s="195">
        <f t="shared" si="3"/>
        <v>361.35</v>
      </c>
    </row>
    <row r="87" spans="2:7" s="188" customFormat="1" ht="18" customHeight="1">
      <c r="B87" s="440">
        <f t="shared" si="4"/>
        <v>68</v>
      </c>
      <c r="C87" s="243" t="s">
        <v>248</v>
      </c>
      <c r="D87" s="244" t="s">
        <v>172</v>
      </c>
      <c r="E87" s="245">
        <v>73</v>
      </c>
      <c r="F87" s="246">
        <v>4.47</v>
      </c>
      <c r="G87" s="195">
        <f t="shared" si="3"/>
        <v>326.31</v>
      </c>
    </row>
    <row r="88" spans="2:7" s="188" customFormat="1" ht="18" customHeight="1">
      <c r="B88" s="440">
        <f t="shared" si="4"/>
        <v>69</v>
      </c>
      <c r="C88" s="243" t="s">
        <v>249</v>
      </c>
      <c r="D88" s="244" t="s">
        <v>128</v>
      </c>
      <c r="E88" s="245">
        <v>2</v>
      </c>
      <c r="F88" s="246">
        <v>1139.44</v>
      </c>
      <c r="G88" s="195">
        <f t="shared" si="3"/>
        <v>2278.88</v>
      </c>
    </row>
    <row r="89" spans="2:7" s="188" customFormat="1" ht="18" customHeight="1">
      <c r="B89" s="440">
        <f t="shared" si="4"/>
        <v>70</v>
      </c>
      <c r="C89" s="243" t="s">
        <v>250</v>
      </c>
      <c r="D89" s="244" t="s">
        <v>128</v>
      </c>
      <c r="E89" s="245">
        <v>5</v>
      </c>
      <c r="F89" s="246">
        <v>15.66</v>
      </c>
      <c r="G89" s="195">
        <f t="shared" si="3"/>
        <v>78.3</v>
      </c>
    </row>
    <row r="90" spans="2:7" s="188" customFormat="1" ht="18" customHeight="1">
      <c r="B90" s="440">
        <f t="shared" si="4"/>
        <v>71</v>
      </c>
      <c r="C90" s="243" t="s">
        <v>251</v>
      </c>
      <c r="D90" s="244" t="s">
        <v>128</v>
      </c>
      <c r="E90" s="245">
        <v>5</v>
      </c>
      <c r="F90" s="246">
        <v>41.1</v>
      </c>
      <c r="G90" s="195">
        <f t="shared" si="3"/>
        <v>205.5</v>
      </c>
    </row>
    <row r="91" spans="2:7" s="188" customFormat="1" ht="18" customHeight="1">
      <c r="B91" s="193"/>
      <c r="C91" s="247" t="s">
        <v>252</v>
      </c>
      <c r="D91" s="203"/>
      <c r="E91" s="198"/>
      <c r="F91" s="198"/>
      <c r="G91" s="195">
        <f t="shared" si="3"/>
        <v>0</v>
      </c>
    </row>
    <row r="92" spans="2:7" s="188" customFormat="1" ht="18" customHeight="1">
      <c r="B92" s="202" t="s">
        <v>438</v>
      </c>
      <c r="C92" s="248" t="s">
        <v>253</v>
      </c>
      <c r="D92" s="249" t="s">
        <v>172</v>
      </c>
      <c r="E92" s="250">
        <v>25.75</v>
      </c>
      <c r="F92" s="251">
        <v>6.85</v>
      </c>
      <c r="G92" s="195">
        <f t="shared" si="3"/>
        <v>176.39</v>
      </c>
    </row>
    <row r="93" spans="2:7" s="188" customFormat="1" ht="18" customHeight="1">
      <c r="B93" s="440">
        <f>B92+1</f>
        <v>73</v>
      </c>
      <c r="C93" s="248" t="s">
        <v>254</v>
      </c>
      <c r="D93" s="249" t="s">
        <v>172</v>
      </c>
      <c r="E93" s="250">
        <v>30.9</v>
      </c>
      <c r="F93" s="251">
        <v>10.95</v>
      </c>
      <c r="G93" s="195">
        <f t="shared" si="3"/>
        <v>338.36</v>
      </c>
    </row>
    <row r="94" spans="2:7" s="188" customFormat="1" ht="18" customHeight="1">
      <c r="B94" s="440">
        <f t="shared" ref="B94:B102" si="5">B93+1</f>
        <v>74</v>
      </c>
      <c r="C94" s="248" t="s">
        <v>255</v>
      </c>
      <c r="D94" s="249" t="s">
        <v>172</v>
      </c>
      <c r="E94" s="250">
        <v>25.75</v>
      </c>
      <c r="F94" s="251">
        <v>14.19</v>
      </c>
      <c r="G94" s="195">
        <f t="shared" si="3"/>
        <v>365.39</v>
      </c>
    </row>
    <row r="95" spans="2:7" s="188" customFormat="1" ht="18" customHeight="1">
      <c r="B95" s="440">
        <f t="shared" si="5"/>
        <v>75</v>
      </c>
      <c r="C95" s="248" t="s">
        <v>256</v>
      </c>
      <c r="D95" s="249" t="s">
        <v>174</v>
      </c>
      <c r="E95" s="250">
        <v>22</v>
      </c>
      <c r="F95" s="251">
        <v>49.45</v>
      </c>
      <c r="G95" s="195">
        <f t="shared" si="3"/>
        <v>1087.9000000000001</v>
      </c>
    </row>
    <row r="96" spans="2:7" s="188" customFormat="1" ht="18" customHeight="1">
      <c r="B96" s="440">
        <f t="shared" si="5"/>
        <v>76</v>
      </c>
      <c r="C96" s="248" t="s">
        <v>257</v>
      </c>
      <c r="D96" s="249" t="s">
        <v>174</v>
      </c>
      <c r="E96" s="250">
        <v>2</v>
      </c>
      <c r="F96" s="251">
        <v>57.06</v>
      </c>
      <c r="G96" s="195">
        <f t="shared" si="3"/>
        <v>114.12</v>
      </c>
    </row>
    <row r="97" spans="2:7" s="188" customFormat="1" ht="18" customHeight="1">
      <c r="B97" s="440">
        <f t="shared" si="5"/>
        <v>77</v>
      </c>
      <c r="C97" s="248" t="s">
        <v>258</v>
      </c>
      <c r="D97" s="249" t="s">
        <v>174</v>
      </c>
      <c r="E97" s="250">
        <v>7</v>
      </c>
      <c r="F97" s="251">
        <v>70.03</v>
      </c>
      <c r="G97" s="195">
        <f t="shared" si="3"/>
        <v>490.21</v>
      </c>
    </row>
    <row r="98" spans="2:7" s="188" customFormat="1" ht="18" customHeight="1">
      <c r="B98" s="440">
        <f t="shared" si="5"/>
        <v>78</v>
      </c>
      <c r="C98" s="248" t="s">
        <v>259</v>
      </c>
      <c r="D98" s="249" t="s">
        <v>172</v>
      </c>
      <c r="E98" s="250">
        <v>61.8</v>
      </c>
      <c r="F98" s="251">
        <v>20.46</v>
      </c>
      <c r="G98" s="195">
        <f t="shared" si="3"/>
        <v>1264.43</v>
      </c>
    </row>
    <row r="99" spans="2:7" s="188" customFormat="1" ht="18" customHeight="1">
      <c r="B99" s="440">
        <f t="shared" si="5"/>
        <v>79</v>
      </c>
      <c r="C99" s="248" t="s">
        <v>260</v>
      </c>
      <c r="D99" s="249" t="s">
        <v>172</v>
      </c>
      <c r="E99" s="250">
        <v>15.45</v>
      </c>
      <c r="F99" s="251">
        <v>14.74</v>
      </c>
      <c r="G99" s="195">
        <f t="shared" si="3"/>
        <v>227.73</v>
      </c>
    </row>
    <row r="100" spans="2:7" s="188" customFormat="1" ht="18" customHeight="1">
      <c r="B100" s="440">
        <f t="shared" si="5"/>
        <v>80</v>
      </c>
      <c r="C100" s="248" t="s">
        <v>261</v>
      </c>
      <c r="D100" s="249" t="s">
        <v>172</v>
      </c>
      <c r="E100" s="250">
        <v>29.9</v>
      </c>
      <c r="F100" s="251">
        <v>8.02</v>
      </c>
      <c r="G100" s="195">
        <f t="shared" si="3"/>
        <v>239.8</v>
      </c>
    </row>
    <row r="101" spans="2:7" s="188" customFormat="1" ht="18" customHeight="1">
      <c r="B101" s="440">
        <f t="shared" si="5"/>
        <v>81</v>
      </c>
      <c r="C101" s="248" t="s">
        <v>262</v>
      </c>
      <c r="D101" s="249" t="s">
        <v>128</v>
      </c>
      <c r="E101" s="250">
        <v>13</v>
      </c>
      <c r="F101" s="251">
        <v>8.91</v>
      </c>
      <c r="G101" s="195">
        <f t="shared" si="3"/>
        <v>115.83</v>
      </c>
    </row>
    <row r="102" spans="2:7" s="188" customFormat="1" ht="18" customHeight="1">
      <c r="B102" s="440">
        <f t="shared" si="5"/>
        <v>82</v>
      </c>
      <c r="C102" s="248" t="s">
        <v>263</v>
      </c>
      <c r="D102" s="249" t="s">
        <v>128</v>
      </c>
      <c r="E102" s="250">
        <v>2</v>
      </c>
      <c r="F102" s="251">
        <v>10.42</v>
      </c>
      <c r="G102" s="195">
        <f t="shared" si="3"/>
        <v>20.84</v>
      </c>
    </row>
    <row r="103" spans="2:7" s="188" customFormat="1" ht="18" customHeight="1">
      <c r="B103" s="193"/>
      <c r="C103" s="252" t="s">
        <v>265</v>
      </c>
      <c r="D103" s="194"/>
      <c r="E103" s="195"/>
      <c r="F103" s="195"/>
      <c r="G103" s="195">
        <f t="shared" si="3"/>
        <v>0</v>
      </c>
    </row>
    <row r="104" spans="2:7" s="188" customFormat="1" ht="18" customHeight="1">
      <c r="B104" s="193">
        <v>83</v>
      </c>
      <c r="C104" s="253" t="s">
        <v>266</v>
      </c>
      <c r="D104" s="254" t="s">
        <v>128</v>
      </c>
      <c r="E104" s="255">
        <v>4</v>
      </c>
      <c r="F104" s="256">
        <v>463.51</v>
      </c>
      <c r="G104" s="195">
        <f t="shared" si="3"/>
        <v>1854.04</v>
      </c>
    </row>
    <row r="105" spans="2:7" s="188" customFormat="1" ht="18" customHeight="1">
      <c r="B105" s="193">
        <f>+B104+1</f>
        <v>84</v>
      </c>
      <c r="C105" s="253" t="s">
        <v>267</v>
      </c>
      <c r="D105" s="254" t="s">
        <v>128</v>
      </c>
      <c r="E105" s="255">
        <v>6</v>
      </c>
      <c r="F105" s="256">
        <v>507.93</v>
      </c>
      <c r="G105" s="195">
        <f t="shared" si="3"/>
        <v>3047.58</v>
      </c>
    </row>
    <row r="106" spans="2:7" s="188" customFormat="1" ht="18" customHeight="1">
      <c r="B106" s="193">
        <f t="shared" ref="B106:B112" si="6">+B105+1</f>
        <v>85</v>
      </c>
      <c r="C106" s="253" t="s">
        <v>268</v>
      </c>
      <c r="D106" s="254" t="s">
        <v>128</v>
      </c>
      <c r="E106" s="255">
        <v>6</v>
      </c>
      <c r="F106" s="256">
        <v>26.77</v>
      </c>
      <c r="G106" s="195">
        <f t="shared" si="3"/>
        <v>160.62</v>
      </c>
    </row>
    <row r="107" spans="2:7" s="188" customFormat="1" ht="18" customHeight="1">
      <c r="B107" s="193">
        <f t="shared" si="6"/>
        <v>86</v>
      </c>
      <c r="C107" s="253" t="s">
        <v>269</v>
      </c>
      <c r="D107" s="254" t="s">
        <v>128</v>
      </c>
      <c r="E107" s="255">
        <v>6</v>
      </c>
      <c r="F107" s="256">
        <v>233.57</v>
      </c>
      <c r="G107" s="195">
        <f t="shared" si="3"/>
        <v>1401.42</v>
      </c>
    </row>
    <row r="108" spans="2:7" s="188" customFormat="1" ht="18" customHeight="1">
      <c r="B108" s="193">
        <f t="shared" si="6"/>
        <v>87</v>
      </c>
      <c r="C108" s="253" t="s">
        <v>270</v>
      </c>
      <c r="D108" s="254" t="s">
        <v>128</v>
      </c>
      <c r="E108" s="255">
        <v>6</v>
      </c>
      <c r="F108" s="256">
        <v>191.14</v>
      </c>
      <c r="G108" s="195">
        <f t="shared" si="3"/>
        <v>1146.8399999999999</v>
      </c>
    </row>
    <row r="109" spans="2:7" s="188" customFormat="1" ht="18" customHeight="1">
      <c r="B109" s="193">
        <f t="shared" si="6"/>
        <v>88</v>
      </c>
      <c r="C109" s="253" t="s">
        <v>271</v>
      </c>
      <c r="D109" s="254" t="s">
        <v>128</v>
      </c>
      <c r="E109" s="255">
        <v>6</v>
      </c>
      <c r="F109" s="256">
        <v>90.71</v>
      </c>
      <c r="G109" s="195">
        <f t="shared" si="3"/>
        <v>544.26</v>
      </c>
    </row>
    <row r="110" spans="2:7" s="188" customFormat="1" ht="18" customHeight="1">
      <c r="B110" s="193">
        <f t="shared" si="6"/>
        <v>89</v>
      </c>
      <c r="C110" s="253" t="s">
        <v>272</v>
      </c>
      <c r="D110" s="254" t="s">
        <v>128</v>
      </c>
      <c r="E110" s="255">
        <v>1</v>
      </c>
      <c r="F110" s="256">
        <v>996.64</v>
      </c>
      <c r="G110" s="195">
        <f t="shared" si="3"/>
        <v>996.64</v>
      </c>
    </row>
    <row r="111" spans="2:7" s="188" customFormat="1" ht="18" customHeight="1">
      <c r="B111" s="193">
        <f t="shared" si="6"/>
        <v>90</v>
      </c>
      <c r="C111" s="253" t="s">
        <v>273</v>
      </c>
      <c r="D111" s="254" t="s">
        <v>128</v>
      </c>
      <c r="E111" s="255">
        <v>1</v>
      </c>
      <c r="F111" s="256">
        <v>114.71</v>
      </c>
      <c r="G111" s="195">
        <f t="shared" si="3"/>
        <v>114.71</v>
      </c>
    </row>
    <row r="112" spans="2:7" s="188" customFormat="1" ht="18" customHeight="1">
      <c r="B112" s="193">
        <f t="shared" si="6"/>
        <v>91</v>
      </c>
      <c r="C112" s="253" t="s">
        <v>274</v>
      </c>
      <c r="D112" s="254" t="s">
        <v>128</v>
      </c>
      <c r="E112" s="255">
        <v>6</v>
      </c>
      <c r="F112" s="256">
        <v>477.25</v>
      </c>
      <c r="G112" s="195">
        <f t="shared" si="3"/>
        <v>2863.5</v>
      </c>
    </row>
    <row r="113" spans="2:7" s="188" customFormat="1" ht="18" customHeight="1">
      <c r="B113" s="193"/>
      <c r="C113" s="257" t="s">
        <v>275</v>
      </c>
      <c r="D113" s="194"/>
      <c r="E113" s="195"/>
      <c r="F113" s="195"/>
      <c r="G113" s="195">
        <f t="shared" si="3"/>
        <v>0</v>
      </c>
    </row>
    <row r="114" spans="2:7" s="188" customFormat="1" ht="18" customHeight="1">
      <c r="B114" s="193">
        <v>92</v>
      </c>
      <c r="C114" s="258" t="s">
        <v>276</v>
      </c>
      <c r="D114" s="259" t="s">
        <v>174</v>
      </c>
      <c r="E114" s="260">
        <v>10</v>
      </c>
      <c r="F114" s="261">
        <v>35.29</v>
      </c>
      <c r="G114" s="195">
        <f t="shared" si="3"/>
        <v>352.9</v>
      </c>
    </row>
    <row r="115" spans="2:7" s="188" customFormat="1" ht="18" customHeight="1">
      <c r="B115" s="193">
        <f>B114+1</f>
        <v>93</v>
      </c>
      <c r="C115" s="258" t="s">
        <v>277</v>
      </c>
      <c r="D115" s="259" t="s">
        <v>174</v>
      </c>
      <c r="E115" s="260">
        <v>69</v>
      </c>
      <c r="F115" s="261">
        <v>25.45</v>
      </c>
      <c r="G115" s="195">
        <f t="shared" si="3"/>
        <v>1756.05</v>
      </c>
    </row>
    <row r="116" spans="2:7" s="188" customFormat="1" ht="18" customHeight="1">
      <c r="B116" s="193">
        <f t="shared" ref="B116:B126" si="7">B115+1</f>
        <v>94</v>
      </c>
      <c r="C116" s="258" t="s">
        <v>278</v>
      </c>
      <c r="D116" s="259" t="s">
        <v>174</v>
      </c>
      <c r="E116" s="260">
        <v>41</v>
      </c>
      <c r="F116" s="261">
        <v>27.21</v>
      </c>
      <c r="G116" s="195">
        <f t="shared" si="3"/>
        <v>1115.6099999999999</v>
      </c>
    </row>
    <row r="117" spans="2:7" s="188" customFormat="1" ht="18" customHeight="1">
      <c r="B117" s="193">
        <f t="shared" si="7"/>
        <v>95</v>
      </c>
      <c r="C117" s="258" t="s">
        <v>279</v>
      </c>
      <c r="D117" s="259" t="s">
        <v>174</v>
      </c>
      <c r="E117" s="260">
        <v>5</v>
      </c>
      <c r="F117" s="261">
        <v>8.18</v>
      </c>
      <c r="G117" s="195">
        <f t="shared" si="3"/>
        <v>40.9</v>
      </c>
    </row>
    <row r="118" spans="2:7" s="188" customFormat="1" ht="18" customHeight="1">
      <c r="B118" s="193">
        <f t="shared" si="7"/>
        <v>96</v>
      </c>
      <c r="C118" s="258" t="s">
        <v>280</v>
      </c>
      <c r="D118" s="259" t="s">
        <v>174</v>
      </c>
      <c r="E118" s="260">
        <v>7</v>
      </c>
      <c r="F118" s="261">
        <v>8</v>
      </c>
      <c r="G118" s="195">
        <f t="shared" si="3"/>
        <v>56</v>
      </c>
    </row>
    <row r="119" spans="2:7" s="188" customFormat="1" ht="18" customHeight="1">
      <c r="B119" s="193">
        <f t="shared" si="7"/>
        <v>97</v>
      </c>
      <c r="C119" s="258" t="s">
        <v>281</v>
      </c>
      <c r="D119" s="259" t="s">
        <v>174</v>
      </c>
      <c r="E119" s="260">
        <v>22</v>
      </c>
      <c r="F119" s="261">
        <v>6.23</v>
      </c>
      <c r="G119" s="195">
        <f t="shared" si="3"/>
        <v>137.06</v>
      </c>
    </row>
    <row r="120" spans="2:7" s="188" customFormat="1" ht="18" customHeight="1">
      <c r="B120" s="193">
        <f t="shared" si="7"/>
        <v>98</v>
      </c>
      <c r="C120" s="258" t="s">
        <v>282</v>
      </c>
      <c r="D120" s="259" t="s">
        <v>174</v>
      </c>
      <c r="E120" s="260">
        <v>1</v>
      </c>
      <c r="F120" s="261">
        <v>43.37</v>
      </c>
      <c r="G120" s="195">
        <f t="shared" si="3"/>
        <v>43.37</v>
      </c>
    </row>
    <row r="121" spans="2:7" s="188" customFormat="1" ht="18" customHeight="1">
      <c r="B121" s="193">
        <f t="shared" si="7"/>
        <v>99</v>
      </c>
      <c r="C121" s="258" t="s">
        <v>283</v>
      </c>
      <c r="D121" s="259" t="s">
        <v>128</v>
      </c>
      <c r="E121" s="260">
        <v>10</v>
      </c>
      <c r="F121" s="261">
        <v>27.44</v>
      </c>
      <c r="G121" s="195">
        <f t="shared" si="3"/>
        <v>274.39999999999998</v>
      </c>
    </row>
    <row r="122" spans="2:7" s="188" customFormat="1" ht="18" customHeight="1">
      <c r="B122" s="193">
        <f t="shared" si="7"/>
        <v>100</v>
      </c>
      <c r="C122" s="258" t="s">
        <v>284</v>
      </c>
      <c r="D122" s="259" t="s">
        <v>128</v>
      </c>
      <c r="E122" s="260">
        <v>3</v>
      </c>
      <c r="F122" s="261">
        <v>51.76</v>
      </c>
      <c r="G122" s="195">
        <f t="shared" si="3"/>
        <v>155.28</v>
      </c>
    </row>
    <row r="123" spans="2:7" s="188" customFormat="1" ht="18" customHeight="1">
      <c r="B123" s="193">
        <f t="shared" si="7"/>
        <v>101</v>
      </c>
      <c r="C123" s="258" t="s">
        <v>285</v>
      </c>
      <c r="D123" s="259" t="s">
        <v>172</v>
      </c>
      <c r="E123" s="260">
        <v>64.94</v>
      </c>
      <c r="F123" s="261">
        <v>15.12</v>
      </c>
      <c r="G123" s="195">
        <f t="shared" si="3"/>
        <v>981.89</v>
      </c>
    </row>
    <row r="124" spans="2:7" s="188" customFormat="1" ht="18" customHeight="1">
      <c r="B124" s="193">
        <f t="shared" si="7"/>
        <v>102</v>
      </c>
      <c r="C124" s="258" t="s">
        <v>286</v>
      </c>
      <c r="D124" s="259" t="s">
        <v>128</v>
      </c>
      <c r="E124" s="260">
        <v>11</v>
      </c>
      <c r="F124" s="261">
        <v>54</v>
      </c>
      <c r="G124" s="195">
        <f t="shared" si="3"/>
        <v>594</v>
      </c>
    </row>
    <row r="125" spans="2:7" s="188" customFormat="1" ht="18" customHeight="1">
      <c r="B125" s="193">
        <f t="shared" si="7"/>
        <v>103</v>
      </c>
      <c r="C125" s="258" t="s">
        <v>287</v>
      </c>
      <c r="D125" s="259" t="s">
        <v>128</v>
      </c>
      <c r="E125" s="260">
        <v>11</v>
      </c>
      <c r="F125" s="261">
        <v>84</v>
      </c>
      <c r="G125" s="195">
        <f t="shared" si="3"/>
        <v>924</v>
      </c>
    </row>
    <row r="126" spans="2:7" s="188" customFormat="1" ht="18" customHeight="1">
      <c r="B126" s="193">
        <f t="shared" si="7"/>
        <v>104</v>
      </c>
      <c r="C126" s="258" t="s">
        <v>288</v>
      </c>
      <c r="D126" s="259" t="s">
        <v>128</v>
      </c>
      <c r="E126" s="260">
        <v>57</v>
      </c>
      <c r="F126" s="261">
        <v>18</v>
      </c>
      <c r="G126" s="195">
        <f t="shared" si="3"/>
        <v>1026</v>
      </c>
    </row>
    <row r="127" spans="2:7" s="188" customFormat="1" ht="18" customHeight="1">
      <c r="B127" s="193"/>
      <c r="C127" s="262" t="s">
        <v>289</v>
      </c>
      <c r="D127" s="194"/>
      <c r="E127" s="195"/>
      <c r="F127" s="195"/>
      <c r="G127" s="195">
        <f t="shared" si="3"/>
        <v>0</v>
      </c>
    </row>
    <row r="128" spans="2:7" s="188" customFormat="1" ht="18" customHeight="1">
      <c r="B128" s="193">
        <v>105</v>
      </c>
      <c r="C128" s="263" t="s">
        <v>289</v>
      </c>
      <c r="D128" s="264" t="s">
        <v>7</v>
      </c>
      <c r="E128" s="265">
        <v>78.5</v>
      </c>
      <c r="F128" s="266">
        <v>1.18</v>
      </c>
      <c r="G128" s="195">
        <f t="shared" si="3"/>
        <v>92.63</v>
      </c>
    </row>
    <row r="129" spans="2:7" ht="15" customHeight="1">
      <c r="B129" s="564" t="s">
        <v>82</v>
      </c>
      <c r="C129" s="564"/>
      <c r="D129" s="564"/>
      <c r="E129" s="564"/>
      <c r="F129" s="564"/>
      <c r="G129" s="187">
        <f>SUM(G13:G128)</f>
        <v>138230.91999999993</v>
      </c>
    </row>
    <row r="130" spans="2:7" ht="15" customHeight="1">
      <c r="B130" s="564" t="s">
        <v>166</v>
      </c>
      <c r="C130" s="564"/>
      <c r="D130" s="564"/>
      <c r="E130" s="564"/>
      <c r="F130" s="564"/>
      <c r="G130" s="187">
        <v>0</v>
      </c>
    </row>
    <row r="131" spans="2:7" ht="15" customHeight="1">
      <c r="B131" s="564" t="s">
        <v>2</v>
      </c>
      <c r="C131" s="564"/>
      <c r="D131" s="564"/>
      <c r="E131" s="564"/>
      <c r="F131" s="564"/>
      <c r="G131" s="187">
        <f>+G129+G130</f>
        <v>138230.91999999993</v>
      </c>
    </row>
    <row r="132" spans="2:7">
      <c r="C132" s="183"/>
      <c r="G132" s="186"/>
    </row>
    <row r="133" spans="2:7" ht="43.5" customHeight="1">
      <c r="B133" s="553" t="s">
        <v>439</v>
      </c>
      <c r="C133" s="554"/>
      <c r="D133" s="554"/>
      <c r="E133" s="554"/>
      <c r="F133" s="554"/>
      <c r="G133" s="554"/>
    </row>
    <row r="134" spans="2:7" ht="18.75" customHeight="1">
      <c r="B134" s="565" t="s">
        <v>165</v>
      </c>
      <c r="C134" s="565"/>
    </row>
    <row r="135" spans="2:7" ht="18.75" customHeight="1">
      <c r="B135" s="555" t="s">
        <v>442</v>
      </c>
      <c r="C135" s="555"/>
    </row>
    <row r="136" spans="2:7" ht="18.75" customHeight="1">
      <c r="C136" s="185"/>
    </row>
    <row r="137" spans="2:7" ht="13">
      <c r="C137" s="185"/>
    </row>
    <row r="138" spans="2:7" ht="13">
      <c r="C138" s="185"/>
    </row>
    <row r="139" spans="2:7">
      <c r="C139" s="183"/>
    </row>
    <row r="140" spans="2:7" ht="13.5" customHeight="1">
      <c r="C140" s="552"/>
      <c r="D140" s="552"/>
      <c r="E140" s="552"/>
      <c r="F140" s="552"/>
      <c r="G140" s="552"/>
    </row>
    <row r="141" spans="2:7" ht="15" customHeight="1">
      <c r="C141" s="184"/>
      <c r="D141" s="184"/>
      <c r="E141" s="184"/>
      <c r="F141" s="184"/>
      <c r="G141" s="184"/>
    </row>
    <row r="142" spans="2:7" ht="15" customHeight="1">
      <c r="B142" s="561" t="s">
        <v>164</v>
      </c>
      <c r="C142" s="562"/>
      <c r="D142" s="562"/>
      <c r="E142" s="562"/>
      <c r="F142" s="562"/>
      <c r="G142" s="562"/>
    </row>
    <row r="143" spans="2:7">
      <c r="B143" s="562"/>
      <c r="C143" s="562"/>
      <c r="D143" s="562"/>
      <c r="E143" s="562"/>
      <c r="F143" s="562"/>
      <c r="G143" s="562"/>
    </row>
    <row r="144" spans="2:7">
      <c r="C144" s="183"/>
    </row>
    <row r="145" spans="2:7">
      <c r="C145" s="183"/>
    </row>
    <row r="146" spans="2:7">
      <c r="C146" s="183"/>
    </row>
    <row r="147" spans="2:7">
      <c r="B147" s="560" t="s">
        <v>363</v>
      </c>
      <c r="C147" s="560"/>
      <c r="D147" s="560"/>
      <c r="E147" s="560"/>
      <c r="F147" s="560"/>
      <c r="G147" s="560"/>
    </row>
    <row r="148" spans="2:7">
      <c r="B148" s="560"/>
      <c r="C148" s="560"/>
      <c r="D148" s="560"/>
      <c r="E148" s="560"/>
      <c r="F148" s="560"/>
      <c r="G148" s="560"/>
    </row>
    <row r="149" spans="2:7">
      <c r="B149" s="560"/>
      <c r="C149" s="560"/>
      <c r="D149" s="560"/>
      <c r="E149" s="560"/>
      <c r="F149" s="560"/>
      <c r="G149" s="560"/>
    </row>
    <row r="150" spans="2:7">
      <c r="B150" s="560"/>
      <c r="C150" s="560"/>
      <c r="D150" s="560"/>
      <c r="E150" s="560"/>
      <c r="F150" s="560"/>
      <c r="G150" s="560"/>
    </row>
    <row r="151" spans="2:7">
      <c r="C151" s="183"/>
    </row>
    <row r="152" spans="2:7">
      <c r="C152" s="183"/>
    </row>
    <row r="153" spans="2:7">
      <c r="C153" s="183"/>
    </row>
    <row r="154" spans="2:7">
      <c r="C154" s="183"/>
    </row>
    <row r="155" spans="2:7">
      <c r="C155" s="183"/>
    </row>
    <row r="156" spans="2:7">
      <c r="C156" s="183"/>
    </row>
    <row r="157" spans="2:7">
      <c r="C157" s="183"/>
    </row>
    <row r="158" spans="2:7">
      <c r="C158" s="183"/>
    </row>
    <row r="159" spans="2:7">
      <c r="C159" s="183"/>
    </row>
    <row r="160" spans="2:7">
      <c r="C160" s="183"/>
    </row>
    <row r="161" spans="3:3">
      <c r="C161" s="183"/>
    </row>
    <row r="162" spans="3:3">
      <c r="C162" s="183"/>
    </row>
    <row r="163" spans="3:3">
      <c r="C163" s="183"/>
    </row>
    <row r="164" spans="3:3">
      <c r="C164" s="183"/>
    </row>
    <row r="165" spans="3:3">
      <c r="C165" s="183"/>
    </row>
    <row r="166" spans="3:3">
      <c r="C166" s="183"/>
    </row>
    <row r="167" spans="3:3">
      <c r="C167" s="183"/>
    </row>
    <row r="168" spans="3:3">
      <c r="C168" s="183"/>
    </row>
    <row r="169" spans="3:3">
      <c r="C169" s="183"/>
    </row>
    <row r="170" spans="3:3">
      <c r="C170" s="183"/>
    </row>
    <row r="171" spans="3:3">
      <c r="C171" s="183"/>
    </row>
    <row r="172" spans="3:3">
      <c r="C172" s="183"/>
    </row>
    <row r="173" spans="3:3">
      <c r="C173" s="183"/>
    </row>
    <row r="174" spans="3:3">
      <c r="C174" s="183"/>
    </row>
    <row r="175" spans="3:3">
      <c r="C175" s="183"/>
    </row>
    <row r="176" spans="3:3">
      <c r="C176" s="183"/>
    </row>
    <row r="177" spans="3:3">
      <c r="C177" s="183"/>
    </row>
    <row r="178" spans="3:3">
      <c r="C178" s="183"/>
    </row>
    <row r="179" spans="3:3">
      <c r="C179" s="183"/>
    </row>
    <row r="180" spans="3:3">
      <c r="C180" s="183"/>
    </row>
    <row r="181" spans="3:3">
      <c r="C181" s="183"/>
    </row>
    <row r="182" spans="3:3">
      <c r="C182" s="183"/>
    </row>
    <row r="183" spans="3:3">
      <c r="C183" s="183"/>
    </row>
    <row r="184" spans="3:3">
      <c r="C184" s="183"/>
    </row>
    <row r="185" spans="3:3">
      <c r="C185" s="183"/>
    </row>
    <row r="186" spans="3:3">
      <c r="C186" s="183"/>
    </row>
    <row r="187" spans="3:3">
      <c r="C187" s="183"/>
    </row>
    <row r="188" spans="3:3">
      <c r="C188" s="183"/>
    </row>
    <row r="189" spans="3:3">
      <c r="C189" s="183"/>
    </row>
    <row r="190" spans="3:3">
      <c r="C190" s="183"/>
    </row>
    <row r="191" spans="3:3">
      <c r="C191" s="183"/>
    </row>
    <row r="192" spans="3:3">
      <c r="C192" s="183"/>
    </row>
    <row r="193" spans="3:3">
      <c r="C193" s="183"/>
    </row>
    <row r="194" spans="3:3">
      <c r="C194" s="183"/>
    </row>
    <row r="195" spans="3:3">
      <c r="C195" s="183"/>
    </row>
    <row r="196" spans="3:3">
      <c r="C196" s="183"/>
    </row>
    <row r="197" spans="3:3">
      <c r="C197" s="183"/>
    </row>
    <row r="198" spans="3:3">
      <c r="C198" s="183"/>
    </row>
    <row r="199" spans="3:3">
      <c r="C199" s="183"/>
    </row>
    <row r="200" spans="3:3">
      <c r="C200" s="183"/>
    </row>
    <row r="201" spans="3:3">
      <c r="C201" s="183"/>
    </row>
    <row r="202" spans="3:3">
      <c r="C202" s="183"/>
    </row>
    <row r="203" spans="3:3">
      <c r="C203" s="183"/>
    </row>
    <row r="204" spans="3:3">
      <c r="C204" s="183"/>
    </row>
    <row r="205" spans="3:3">
      <c r="C205" s="183"/>
    </row>
    <row r="206" spans="3:3">
      <c r="C206" s="183"/>
    </row>
  </sheetData>
  <mergeCells count="20">
    <mergeCell ref="B147:G150"/>
    <mergeCell ref="B142:G143"/>
    <mergeCell ref="B10:B11"/>
    <mergeCell ref="B131:F131"/>
    <mergeCell ref="B130:F130"/>
    <mergeCell ref="B134:C134"/>
    <mergeCell ref="B129:F129"/>
    <mergeCell ref="E10:E11"/>
    <mergeCell ref="F10:F11"/>
    <mergeCell ref="D10:D11"/>
    <mergeCell ref="G10:G11"/>
    <mergeCell ref="C10:C11"/>
    <mergeCell ref="B3:G3"/>
    <mergeCell ref="B6:G6"/>
    <mergeCell ref="C140:G140"/>
    <mergeCell ref="B133:G133"/>
    <mergeCell ref="B135:C135"/>
    <mergeCell ref="B4:G4"/>
    <mergeCell ref="B8:G9"/>
    <mergeCell ref="B7:G7"/>
  </mergeCells>
  <phoneticPr fontId="29" type="noConversion"/>
  <pageMargins left="0.70866141732283472" right="0.70866141732283472" top="0.74803149606299213" bottom="0.74803149606299213" header="0.31496062992125984" footer="0.31496062992125984"/>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37"/>
  <sheetViews>
    <sheetView zoomScale="70" zoomScaleNormal="70" zoomScaleSheetLayoutView="100" workbookViewId="0">
      <selection activeCell="G22" sqref="G22:Z22"/>
    </sheetView>
  </sheetViews>
  <sheetFormatPr baseColWidth="10" defaultColWidth="8.81640625" defaultRowHeight="14.5"/>
  <cols>
    <col min="1" max="1" width="8.81640625" style="309"/>
    <col min="2" max="2" width="51" style="309" customWidth="1"/>
    <col min="3" max="3" width="8.7265625" style="309" customWidth="1"/>
    <col min="4" max="4" width="15" style="309" customWidth="1"/>
    <col min="5" max="5" width="10" style="309" customWidth="1"/>
    <col min="6" max="6" width="15" style="309" customWidth="1"/>
    <col min="7" max="7" width="3.1796875" style="309" customWidth="1"/>
    <col min="8" max="9" width="2" style="309" bestFit="1" customWidth="1"/>
    <col min="10" max="10" width="3.7265625" style="309" customWidth="1"/>
    <col min="11" max="11" width="2.54296875" style="309" customWidth="1"/>
    <col min="12" max="12" width="2.7265625" style="309" customWidth="1"/>
    <col min="13" max="13" width="2.54296875" style="309" customWidth="1"/>
    <col min="14" max="14" width="3.1796875" style="309" customWidth="1"/>
    <col min="15" max="17" width="2" style="309" bestFit="1" customWidth="1"/>
    <col min="18" max="18" width="3.26953125" style="309" customWidth="1"/>
    <col min="19" max="21" width="2" style="309" bestFit="1" customWidth="1"/>
    <col min="22" max="22" width="3.1796875" style="309" customWidth="1"/>
    <col min="23" max="25" width="2" style="309" bestFit="1" customWidth="1"/>
    <col min="26" max="26" width="3.26953125" style="309" customWidth="1"/>
    <col min="27" max="223" width="9.1796875" style="309" customWidth="1"/>
    <col min="224" max="16384" width="8.81640625" style="309"/>
  </cols>
  <sheetData>
    <row r="1" spans="1:223" ht="23.5">
      <c r="A1" s="608" t="s">
        <v>440</v>
      </c>
      <c r="B1" s="608"/>
      <c r="C1" s="608"/>
      <c r="D1" s="608"/>
      <c r="E1" s="608"/>
      <c r="F1" s="608"/>
      <c r="G1" s="608"/>
      <c r="H1" s="608"/>
      <c r="I1" s="608"/>
      <c r="J1" s="608"/>
      <c r="K1" s="608"/>
      <c r="L1" s="608"/>
      <c r="M1" s="608"/>
      <c r="N1" s="608"/>
      <c r="O1" s="608"/>
      <c r="P1" s="608"/>
      <c r="Q1" s="608"/>
      <c r="R1" s="608"/>
      <c r="S1" s="608"/>
      <c r="T1" s="608"/>
      <c r="U1" s="608"/>
      <c r="V1" s="608"/>
      <c r="W1" s="608"/>
      <c r="X1" s="608"/>
      <c r="Y1" s="608"/>
      <c r="Z1" s="608"/>
    </row>
    <row r="2" spans="1:223" ht="21">
      <c r="A2" s="570"/>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c r="BY2" s="333"/>
      <c r="BZ2" s="333"/>
      <c r="CA2" s="333"/>
      <c r="CB2" s="333"/>
      <c r="CC2" s="333"/>
      <c r="CD2" s="333"/>
      <c r="CE2" s="333"/>
      <c r="CF2" s="333"/>
      <c r="CG2" s="333"/>
      <c r="CH2" s="333"/>
      <c r="CI2" s="333"/>
      <c r="CJ2" s="333"/>
      <c r="CK2" s="333"/>
      <c r="CL2" s="333"/>
      <c r="CM2" s="333"/>
      <c r="CN2" s="333"/>
      <c r="CO2" s="333"/>
      <c r="CP2" s="333"/>
      <c r="CQ2" s="333"/>
      <c r="CR2" s="333"/>
      <c r="CS2" s="333"/>
      <c r="CT2" s="333"/>
      <c r="CU2" s="333"/>
      <c r="CV2" s="333"/>
      <c r="CW2" s="333"/>
      <c r="CX2" s="333"/>
      <c r="CY2" s="333"/>
      <c r="CZ2" s="333"/>
      <c r="DA2" s="333"/>
      <c r="DB2" s="333"/>
      <c r="DC2" s="333"/>
      <c r="DD2" s="333"/>
      <c r="DE2" s="333"/>
      <c r="DF2" s="333"/>
      <c r="DG2" s="333"/>
      <c r="DH2" s="333"/>
      <c r="DI2" s="333"/>
      <c r="DJ2" s="333"/>
      <c r="DK2" s="333"/>
      <c r="DL2" s="333"/>
      <c r="DM2" s="333"/>
      <c r="DN2" s="333"/>
      <c r="DO2" s="333"/>
      <c r="DP2" s="333"/>
      <c r="DQ2" s="333"/>
      <c r="DR2" s="333"/>
      <c r="DS2" s="333"/>
      <c r="DT2" s="333"/>
      <c r="DU2" s="333"/>
      <c r="DV2" s="333"/>
      <c r="DW2" s="333"/>
      <c r="DX2" s="333"/>
      <c r="DY2" s="333"/>
      <c r="DZ2" s="333"/>
      <c r="EA2" s="333"/>
      <c r="EB2" s="333"/>
      <c r="EC2" s="333"/>
      <c r="ED2" s="333"/>
      <c r="EE2" s="333"/>
      <c r="EF2" s="333"/>
      <c r="EG2" s="333"/>
      <c r="EH2" s="333"/>
      <c r="EI2" s="333"/>
      <c r="EJ2" s="333"/>
      <c r="EK2" s="333"/>
      <c r="EL2" s="333"/>
      <c r="EM2" s="333"/>
      <c r="EN2" s="333"/>
      <c r="EO2" s="333"/>
      <c r="EP2" s="333"/>
      <c r="EQ2" s="333"/>
      <c r="ER2" s="333"/>
      <c r="ES2" s="333"/>
      <c r="ET2" s="333"/>
      <c r="EU2" s="333"/>
      <c r="EV2" s="333"/>
      <c r="EW2" s="333"/>
      <c r="EX2" s="333"/>
      <c r="EY2" s="333"/>
      <c r="EZ2" s="333"/>
      <c r="FA2" s="333"/>
      <c r="FB2" s="333"/>
      <c r="FC2" s="333"/>
      <c r="FD2" s="333"/>
      <c r="FE2" s="333"/>
      <c r="FF2" s="333"/>
      <c r="FG2" s="333"/>
      <c r="FH2" s="333"/>
      <c r="FI2" s="333"/>
      <c r="FJ2" s="333"/>
      <c r="FK2" s="333"/>
      <c r="FL2" s="333"/>
      <c r="FM2" s="333"/>
      <c r="FN2" s="333"/>
      <c r="FO2" s="333"/>
      <c r="FP2" s="333"/>
      <c r="FQ2" s="333"/>
      <c r="FR2" s="333"/>
      <c r="FS2" s="333"/>
      <c r="FT2" s="333"/>
      <c r="FU2" s="333"/>
      <c r="FV2" s="333"/>
      <c r="FW2" s="333"/>
      <c r="FX2" s="333"/>
      <c r="FY2" s="333"/>
      <c r="FZ2" s="333"/>
      <c r="GA2" s="333"/>
      <c r="GB2" s="333"/>
      <c r="GC2" s="333"/>
      <c r="GD2" s="333"/>
      <c r="GE2" s="333"/>
      <c r="GF2" s="333"/>
      <c r="GG2" s="333"/>
      <c r="GH2" s="333"/>
      <c r="GI2" s="333"/>
      <c r="GJ2" s="333"/>
      <c r="GK2" s="333"/>
      <c r="GL2" s="333"/>
      <c r="GM2" s="333"/>
      <c r="GN2" s="333"/>
      <c r="GO2" s="333"/>
      <c r="GP2" s="333"/>
      <c r="GQ2" s="333"/>
      <c r="GR2" s="333"/>
      <c r="GS2" s="333"/>
      <c r="GT2" s="333"/>
      <c r="GU2" s="333"/>
      <c r="GV2" s="333"/>
      <c r="GW2" s="333"/>
      <c r="GX2" s="333"/>
      <c r="GY2" s="333"/>
      <c r="GZ2" s="333"/>
      <c r="HA2" s="333"/>
      <c r="HB2" s="333"/>
      <c r="HC2" s="333"/>
      <c r="HD2" s="333"/>
      <c r="HE2" s="333"/>
      <c r="HF2" s="333"/>
      <c r="HG2" s="333"/>
      <c r="HH2" s="333"/>
      <c r="HI2" s="333"/>
      <c r="HJ2" s="333"/>
      <c r="HK2" s="333"/>
      <c r="HL2" s="333"/>
      <c r="HM2" s="333"/>
      <c r="HN2" s="333"/>
      <c r="HO2" s="333"/>
    </row>
    <row r="3" spans="1:223" ht="21">
      <c r="A3" s="571"/>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333"/>
      <c r="CK3" s="333"/>
      <c r="CL3" s="333"/>
      <c r="CM3" s="333"/>
      <c r="CN3" s="333"/>
      <c r="CO3" s="333"/>
      <c r="CP3" s="333"/>
      <c r="CQ3" s="333"/>
      <c r="CR3" s="333"/>
      <c r="CS3" s="333"/>
      <c r="CT3" s="333"/>
      <c r="CU3" s="333"/>
      <c r="CV3" s="333"/>
      <c r="CW3" s="333"/>
      <c r="CX3" s="333"/>
      <c r="CY3" s="333"/>
      <c r="CZ3" s="333"/>
      <c r="DA3" s="333"/>
      <c r="DB3" s="333"/>
      <c r="DC3" s="333"/>
      <c r="DD3" s="333"/>
      <c r="DE3" s="333"/>
      <c r="DF3" s="333"/>
      <c r="DG3" s="333"/>
      <c r="DH3" s="333"/>
      <c r="DI3" s="333"/>
      <c r="DJ3" s="333"/>
      <c r="DK3" s="333"/>
      <c r="DL3" s="333"/>
      <c r="DM3" s="333"/>
      <c r="DN3" s="333"/>
      <c r="DO3" s="333"/>
      <c r="DP3" s="333"/>
      <c r="DQ3" s="333"/>
      <c r="DR3" s="333"/>
      <c r="DS3" s="333"/>
      <c r="DT3" s="333"/>
      <c r="DU3" s="333"/>
      <c r="DV3" s="333"/>
      <c r="DW3" s="333"/>
      <c r="DX3" s="333"/>
      <c r="DY3" s="333"/>
      <c r="DZ3" s="333"/>
      <c r="EA3" s="333"/>
      <c r="EB3" s="333"/>
      <c r="EC3" s="333"/>
      <c r="ED3" s="333"/>
      <c r="EE3" s="333"/>
      <c r="EF3" s="333"/>
      <c r="EG3" s="333"/>
      <c r="EH3" s="333"/>
      <c r="EI3" s="333"/>
      <c r="EJ3" s="333"/>
      <c r="EK3" s="333"/>
      <c r="EL3" s="333"/>
      <c r="EM3" s="333"/>
      <c r="EN3" s="333"/>
      <c r="EO3" s="333"/>
      <c r="EP3" s="333"/>
      <c r="EQ3" s="333"/>
      <c r="ER3" s="333"/>
      <c r="ES3" s="333"/>
      <c r="ET3" s="333"/>
      <c r="EU3" s="333"/>
      <c r="EV3" s="333"/>
      <c r="EW3" s="333"/>
      <c r="EX3" s="333"/>
      <c r="EY3" s="333"/>
      <c r="EZ3" s="333"/>
      <c r="FA3" s="333"/>
      <c r="FB3" s="333"/>
      <c r="FC3" s="333"/>
      <c r="FD3" s="333"/>
      <c r="FE3" s="333"/>
      <c r="FF3" s="333"/>
      <c r="FG3" s="333"/>
      <c r="FH3" s="333"/>
      <c r="FI3" s="333"/>
      <c r="FJ3" s="333"/>
      <c r="FK3" s="333"/>
      <c r="FL3" s="333"/>
      <c r="FM3" s="333"/>
      <c r="FN3" s="333"/>
      <c r="FO3" s="333"/>
      <c r="FP3" s="333"/>
      <c r="FQ3" s="333"/>
      <c r="FR3" s="333"/>
      <c r="FS3" s="333"/>
      <c r="FT3" s="333"/>
      <c r="FU3" s="333"/>
      <c r="FV3" s="333"/>
      <c r="FW3" s="333"/>
      <c r="FX3" s="333"/>
      <c r="FY3" s="333"/>
      <c r="FZ3" s="333"/>
      <c r="GA3" s="333"/>
      <c r="GB3" s="333"/>
      <c r="GC3" s="333"/>
      <c r="GD3" s="333"/>
      <c r="GE3" s="333"/>
      <c r="GF3" s="333"/>
      <c r="GG3" s="333"/>
      <c r="GH3" s="333"/>
      <c r="GI3" s="333"/>
      <c r="GJ3" s="333"/>
      <c r="GK3" s="333"/>
      <c r="GL3" s="333"/>
      <c r="GM3" s="333"/>
      <c r="GN3" s="333"/>
      <c r="GO3" s="333"/>
      <c r="GP3" s="333"/>
      <c r="GQ3" s="333"/>
      <c r="GR3" s="333"/>
      <c r="GS3" s="333"/>
      <c r="GT3" s="333"/>
      <c r="GU3" s="333"/>
      <c r="GV3" s="333"/>
      <c r="GW3" s="333"/>
      <c r="GX3" s="333"/>
      <c r="GY3" s="333"/>
      <c r="GZ3" s="333"/>
      <c r="HA3" s="333"/>
      <c r="HB3" s="333"/>
      <c r="HC3" s="333"/>
      <c r="HD3" s="333"/>
      <c r="HE3" s="333"/>
      <c r="HF3" s="333"/>
      <c r="HG3" s="333"/>
      <c r="HH3" s="333"/>
      <c r="HI3" s="333"/>
      <c r="HJ3" s="333"/>
      <c r="HK3" s="333"/>
      <c r="HL3" s="333"/>
      <c r="HM3" s="333"/>
      <c r="HN3" s="333"/>
      <c r="HO3" s="333"/>
    </row>
    <row r="4" spans="1:223" ht="30" customHeight="1">
      <c r="A4" s="572" t="str">
        <f>+'1.- Matriz de inversión'!A3:L3</f>
        <v>SUBPROYECTO: "NOMBRE DEL SUBPROYECTO XYZ"</v>
      </c>
      <c r="B4" s="572"/>
      <c r="C4" s="572"/>
      <c r="D4" s="572"/>
      <c r="E4" s="572"/>
      <c r="F4" s="572"/>
      <c r="G4" s="572"/>
      <c r="H4" s="572"/>
      <c r="I4" s="572"/>
      <c r="J4" s="572"/>
      <c r="K4" s="572"/>
      <c r="L4" s="572"/>
      <c r="M4" s="572"/>
      <c r="N4" s="572"/>
      <c r="O4" s="572"/>
      <c r="P4" s="572"/>
      <c r="Q4" s="572"/>
      <c r="R4" s="572"/>
      <c r="S4" s="572"/>
      <c r="T4" s="572"/>
      <c r="U4" s="572"/>
      <c r="V4" s="572"/>
      <c r="W4" s="572"/>
      <c r="X4" s="572"/>
      <c r="Y4" s="572"/>
      <c r="Z4" s="572"/>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c r="CU4" s="333"/>
      <c r="CV4" s="333"/>
      <c r="CW4" s="333"/>
      <c r="CX4" s="333"/>
      <c r="CY4" s="333"/>
      <c r="CZ4" s="333"/>
      <c r="DA4" s="333"/>
      <c r="DB4" s="333"/>
      <c r="DC4" s="333"/>
      <c r="DD4" s="333"/>
      <c r="DE4" s="333"/>
      <c r="DF4" s="333"/>
      <c r="DG4" s="333"/>
      <c r="DH4" s="333"/>
      <c r="DI4" s="333"/>
      <c r="DJ4" s="333"/>
      <c r="DK4" s="333"/>
      <c r="DL4" s="333"/>
      <c r="DM4" s="333"/>
      <c r="DN4" s="333"/>
      <c r="DO4" s="333"/>
      <c r="DP4" s="333"/>
      <c r="DQ4" s="333"/>
      <c r="DR4" s="333"/>
      <c r="DS4" s="333"/>
      <c r="DT4" s="333"/>
      <c r="DU4" s="333"/>
      <c r="DV4" s="333"/>
      <c r="DW4" s="333"/>
      <c r="DX4" s="333"/>
      <c r="DY4" s="333"/>
      <c r="DZ4" s="333"/>
      <c r="EA4" s="333"/>
      <c r="EB4" s="333"/>
      <c r="EC4" s="333"/>
      <c r="ED4" s="333"/>
      <c r="EE4" s="333"/>
      <c r="EF4" s="333"/>
      <c r="EG4" s="333"/>
      <c r="EH4" s="333"/>
      <c r="EI4" s="333"/>
      <c r="EJ4" s="333"/>
      <c r="EK4" s="333"/>
      <c r="EL4" s="333"/>
      <c r="EM4" s="333"/>
      <c r="EN4" s="333"/>
      <c r="EO4" s="333"/>
      <c r="EP4" s="333"/>
      <c r="EQ4" s="333"/>
      <c r="ER4" s="333"/>
      <c r="ES4" s="333"/>
      <c r="ET4" s="333"/>
      <c r="EU4" s="333"/>
      <c r="EV4" s="333"/>
      <c r="EW4" s="333"/>
      <c r="EX4" s="333"/>
      <c r="EY4" s="333"/>
      <c r="EZ4" s="333"/>
      <c r="FA4" s="333"/>
      <c r="FB4" s="333"/>
      <c r="FC4" s="333"/>
      <c r="FD4" s="333"/>
      <c r="FE4" s="333"/>
      <c r="FF4" s="333"/>
      <c r="FG4" s="333"/>
      <c r="FH4" s="333"/>
      <c r="FI4" s="333"/>
      <c r="FJ4" s="333"/>
      <c r="FK4" s="333"/>
      <c r="FL4" s="333"/>
      <c r="FM4" s="333"/>
      <c r="FN4" s="333"/>
      <c r="FO4" s="333"/>
      <c r="FP4" s="333"/>
      <c r="FQ4" s="333"/>
      <c r="FR4" s="333"/>
      <c r="FS4" s="333"/>
      <c r="FT4" s="333"/>
      <c r="FU4" s="333"/>
      <c r="FV4" s="333"/>
      <c r="FW4" s="333"/>
      <c r="FX4" s="333"/>
      <c r="FY4" s="333"/>
      <c r="FZ4" s="333"/>
      <c r="GA4" s="333"/>
      <c r="GB4" s="333"/>
      <c r="GC4" s="333"/>
      <c r="GD4" s="333"/>
      <c r="GE4" s="333"/>
      <c r="GF4" s="333"/>
      <c r="GG4" s="333"/>
      <c r="GH4" s="333"/>
      <c r="GI4" s="333"/>
      <c r="GJ4" s="333"/>
      <c r="GK4" s="333"/>
      <c r="GL4" s="333"/>
      <c r="GM4" s="333"/>
      <c r="GN4" s="333"/>
      <c r="GO4" s="333"/>
      <c r="GP4" s="333"/>
      <c r="GQ4" s="333"/>
      <c r="GR4" s="333"/>
      <c r="GS4" s="333"/>
      <c r="GT4" s="333"/>
      <c r="GU4" s="333"/>
      <c r="GV4" s="333"/>
      <c r="GW4" s="333"/>
      <c r="GX4" s="333"/>
      <c r="GY4" s="333"/>
      <c r="GZ4" s="333"/>
      <c r="HA4" s="333"/>
      <c r="HB4" s="333"/>
      <c r="HC4" s="333"/>
      <c r="HD4" s="333"/>
      <c r="HE4" s="333"/>
      <c r="HF4" s="333"/>
      <c r="HG4" s="333"/>
      <c r="HH4" s="333"/>
      <c r="HI4" s="333"/>
      <c r="HJ4" s="333"/>
      <c r="HK4" s="333"/>
      <c r="HL4" s="333"/>
      <c r="HM4" s="333"/>
      <c r="HN4" s="333"/>
      <c r="HO4" s="333"/>
    </row>
    <row r="5" spans="1:223" ht="15" customHeight="1" thickBot="1">
      <c r="A5" s="573" t="s">
        <v>386</v>
      </c>
      <c r="B5" s="573"/>
      <c r="C5" s="573"/>
      <c r="D5" s="573"/>
      <c r="E5" s="573"/>
      <c r="F5" s="573"/>
      <c r="G5" s="573"/>
      <c r="H5" s="573"/>
      <c r="I5" s="573"/>
      <c r="J5" s="573"/>
      <c r="K5" s="573"/>
      <c r="L5" s="573"/>
      <c r="M5" s="573"/>
      <c r="N5" s="573"/>
      <c r="O5" s="573"/>
      <c r="P5" s="573"/>
      <c r="Q5" s="573"/>
      <c r="R5" s="573"/>
      <c r="S5" s="573"/>
      <c r="T5" s="573"/>
      <c r="U5" s="573"/>
      <c r="V5" s="573"/>
      <c r="W5" s="573"/>
      <c r="X5" s="573"/>
      <c r="Y5" s="573"/>
      <c r="Z5" s="573"/>
    </row>
    <row r="6" spans="1:223" ht="25.9" customHeight="1" thickBot="1">
      <c r="A6" s="574" t="s">
        <v>168</v>
      </c>
      <c r="B6" s="579" t="s">
        <v>87</v>
      </c>
      <c r="C6" s="579" t="s">
        <v>88</v>
      </c>
      <c r="D6" s="579" t="s">
        <v>385</v>
      </c>
      <c r="E6" s="579" t="s">
        <v>384</v>
      </c>
      <c r="F6" s="581" t="s">
        <v>383</v>
      </c>
      <c r="G6" s="583" t="s">
        <v>382</v>
      </c>
      <c r="H6" s="577"/>
      <c r="I6" s="577"/>
      <c r="J6" s="578"/>
      <c r="K6" s="576" t="s">
        <v>381</v>
      </c>
      <c r="L6" s="577"/>
      <c r="M6" s="577"/>
      <c r="N6" s="578"/>
      <c r="O6" s="576" t="s">
        <v>380</v>
      </c>
      <c r="P6" s="577"/>
      <c r="Q6" s="577"/>
      <c r="R6" s="578"/>
      <c r="S6" s="576" t="s">
        <v>379</v>
      </c>
      <c r="T6" s="577"/>
      <c r="U6" s="577"/>
      <c r="V6" s="578"/>
      <c r="W6" s="576" t="s">
        <v>378</v>
      </c>
      <c r="X6" s="577"/>
      <c r="Y6" s="577"/>
      <c r="Z6" s="578"/>
    </row>
    <row r="7" spans="1:223" ht="15" thickBot="1">
      <c r="A7" s="575"/>
      <c r="B7" s="580"/>
      <c r="C7" s="580"/>
      <c r="D7" s="580"/>
      <c r="E7" s="580"/>
      <c r="F7" s="582"/>
      <c r="G7" s="332">
        <v>1</v>
      </c>
      <c r="H7" s="331">
        <v>2</v>
      </c>
      <c r="I7" s="331">
        <v>3</v>
      </c>
      <c r="J7" s="331">
        <v>4</v>
      </c>
      <c r="K7" s="331">
        <v>1</v>
      </c>
      <c r="L7" s="331">
        <v>2</v>
      </c>
      <c r="M7" s="331">
        <v>3</v>
      </c>
      <c r="N7" s="331">
        <v>4</v>
      </c>
      <c r="O7" s="331">
        <v>1</v>
      </c>
      <c r="P7" s="331">
        <v>2</v>
      </c>
      <c r="Q7" s="331">
        <v>3</v>
      </c>
      <c r="R7" s="331">
        <v>4</v>
      </c>
      <c r="S7" s="331">
        <v>1</v>
      </c>
      <c r="T7" s="331">
        <v>2</v>
      </c>
      <c r="U7" s="331">
        <v>3</v>
      </c>
      <c r="V7" s="331">
        <v>4</v>
      </c>
      <c r="W7" s="331">
        <v>1</v>
      </c>
      <c r="X7" s="331">
        <v>2</v>
      </c>
      <c r="Y7" s="331">
        <v>3</v>
      </c>
      <c r="Z7" s="330">
        <v>4</v>
      </c>
    </row>
    <row r="8" spans="1:223">
      <c r="A8" s="329"/>
      <c r="B8" s="328"/>
      <c r="C8" s="328"/>
      <c r="D8" s="327"/>
      <c r="E8" s="327"/>
      <c r="F8" s="326"/>
      <c r="G8" s="567"/>
      <c r="H8" s="568"/>
      <c r="I8" s="568"/>
      <c r="J8" s="568"/>
      <c r="K8" s="568"/>
      <c r="L8" s="568"/>
      <c r="M8" s="568"/>
      <c r="N8" s="568"/>
      <c r="O8" s="568"/>
      <c r="P8" s="568"/>
      <c r="Q8" s="568"/>
      <c r="R8" s="568"/>
      <c r="S8" s="568"/>
      <c r="T8" s="568"/>
      <c r="U8" s="568"/>
      <c r="V8" s="568"/>
      <c r="W8" s="568"/>
      <c r="X8" s="568"/>
      <c r="Y8" s="568"/>
      <c r="Z8" s="569"/>
    </row>
    <row r="9" spans="1:223">
      <c r="A9" s="320"/>
      <c r="B9" s="319"/>
      <c r="C9" s="318"/>
      <c r="D9" s="317"/>
      <c r="E9" s="317"/>
      <c r="F9" s="316"/>
      <c r="G9" s="588"/>
      <c r="H9" s="585"/>
      <c r="I9" s="585"/>
      <c r="J9" s="585"/>
      <c r="K9" s="586"/>
      <c r="L9" s="586"/>
      <c r="M9" s="586"/>
      <c r="N9" s="586"/>
      <c r="O9" s="586"/>
      <c r="P9" s="586"/>
      <c r="Q9" s="586"/>
      <c r="R9" s="586"/>
      <c r="S9" s="586"/>
      <c r="T9" s="586"/>
      <c r="U9" s="586"/>
      <c r="V9" s="586"/>
      <c r="W9" s="586"/>
      <c r="X9" s="586"/>
      <c r="Y9" s="586"/>
      <c r="Z9" s="587"/>
    </row>
    <row r="10" spans="1:223" ht="20.5" customHeight="1">
      <c r="A10" s="320"/>
      <c r="B10" s="325"/>
      <c r="C10" s="323"/>
      <c r="D10" s="322"/>
      <c r="E10" s="322"/>
      <c r="F10" s="316"/>
      <c r="G10" s="584"/>
      <c r="H10" s="585"/>
      <c r="I10" s="585"/>
      <c r="J10" s="585"/>
      <c r="K10" s="586"/>
      <c r="L10" s="586"/>
      <c r="M10" s="586"/>
      <c r="N10" s="586"/>
      <c r="O10" s="586"/>
      <c r="P10" s="586"/>
      <c r="Q10" s="586"/>
      <c r="R10" s="586"/>
      <c r="S10" s="586"/>
      <c r="T10" s="586"/>
      <c r="U10" s="586"/>
      <c r="V10" s="586"/>
      <c r="W10" s="586"/>
      <c r="X10" s="586"/>
      <c r="Y10" s="586"/>
      <c r="Z10" s="587"/>
    </row>
    <row r="11" spans="1:223" ht="22.9" customHeight="1">
      <c r="A11" s="320"/>
      <c r="B11" s="319"/>
      <c r="C11" s="318"/>
      <c r="D11" s="317"/>
      <c r="E11" s="317"/>
      <c r="F11" s="316"/>
      <c r="G11" s="588"/>
      <c r="H11" s="585"/>
      <c r="I11" s="585"/>
      <c r="J11" s="585"/>
      <c r="K11" s="586"/>
      <c r="L11" s="586"/>
      <c r="M11" s="586"/>
      <c r="N11" s="586"/>
      <c r="O11" s="586"/>
      <c r="P11" s="586"/>
      <c r="Q11" s="586"/>
      <c r="R11" s="586"/>
      <c r="S11" s="586"/>
      <c r="T11" s="586"/>
      <c r="U11" s="586"/>
      <c r="V11" s="586"/>
      <c r="W11" s="586"/>
      <c r="X11" s="586"/>
      <c r="Y11" s="586"/>
      <c r="Z11" s="587"/>
    </row>
    <row r="12" spans="1:223" ht="29.5" customHeight="1">
      <c r="A12" s="320"/>
      <c r="B12" s="324"/>
      <c r="C12" s="323"/>
      <c r="D12" s="317"/>
      <c r="E12" s="322"/>
      <c r="F12" s="316"/>
      <c r="G12" s="588"/>
      <c r="H12" s="585"/>
      <c r="I12" s="585"/>
      <c r="J12" s="585"/>
      <c r="K12" s="586"/>
      <c r="L12" s="586"/>
      <c r="M12" s="586"/>
      <c r="N12" s="586"/>
      <c r="O12" s="586"/>
      <c r="P12" s="586"/>
      <c r="Q12" s="586"/>
      <c r="R12" s="586"/>
      <c r="S12" s="586"/>
      <c r="T12" s="586"/>
      <c r="U12" s="586"/>
      <c r="V12" s="586"/>
      <c r="W12" s="586"/>
      <c r="X12" s="586"/>
      <c r="Y12" s="586"/>
      <c r="Z12" s="587"/>
    </row>
    <row r="13" spans="1:223" ht="20.5" customHeight="1">
      <c r="A13" s="320"/>
      <c r="B13" s="321"/>
      <c r="C13" s="318"/>
      <c r="D13" s="317"/>
      <c r="E13" s="317"/>
      <c r="F13" s="316"/>
      <c r="G13" s="589"/>
      <c r="H13" s="590"/>
      <c r="I13" s="590"/>
      <c r="J13" s="588"/>
      <c r="K13" s="586"/>
      <c r="L13" s="585"/>
      <c r="M13" s="585"/>
      <c r="N13" s="585"/>
      <c r="O13" s="586"/>
      <c r="P13" s="586"/>
      <c r="Q13" s="586"/>
      <c r="R13" s="586"/>
      <c r="S13" s="586"/>
      <c r="T13" s="586"/>
      <c r="U13" s="586"/>
      <c r="V13" s="586"/>
      <c r="W13" s="586"/>
      <c r="X13" s="586"/>
      <c r="Y13" s="586"/>
      <c r="Z13" s="587"/>
    </row>
    <row r="14" spans="1:223" ht="19.899999999999999" customHeight="1">
      <c r="A14" s="320"/>
      <c r="B14" s="319"/>
      <c r="C14" s="318"/>
      <c r="D14" s="317"/>
      <c r="E14" s="317"/>
      <c r="F14" s="316"/>
      <c r="G14" s="589"/>
      <c r="H14" s="590"/>
      <c r="I14" s="590"/>
      <c r="J14" s="588"/>
      <c r="K14" s="586"/>
      <c r="L14" s="585"/>
      <c r="M14" s="585"/>
      <c r="N14" s="585"/>
      <c r="O14" s="586"/>
      <c r="P14" s="586"/>
      <c r="Q14" s="586"/>
      <c r="R14" s="586"/>
      <c r="S14" s="586"/>
      <c r="T14" s="586"/>
      <c r="U14" s="586"/>
      <c r="V14" s="586"/>
      <c r="W14" s="586"/>
      <c r="X14" s="586"/>
      <c r="Y14" s="586"/>
      <c r="Z14" s="587"/>
    </row>
    <row r="15" spans="1:223" ht="15.65" customHeight="1">
      <c r="A15" s="320"/>
      <c r="B15" s="319"/>
      <c r="C15" s="318"/>
      <c r="D15" s="317"/>
      <c r="E15" s="317"/>
      <c r="F15" s="316"/>
      <c r="G15" s="589"/>
      <c r="H15" s="590"/>
      <c r="I15" s="590"/>
      <c r="J15" s="588"/>
      <c r="K15" s="586"/>
      <c r="L15" s="585"/>
      <c r="M15" s="585"/>
      <c r="N15" s="585"/>
      <c r="O15" s="586"/>
      <c r="P15" s="586"/>
      <c r="Q15" s="586"/>
      <c r="R15" s="586"/>
      <c r="S15" s="586"/>
      <c r="T15" s="586"/>
      <c r="U15" s="586"/>
      <c r="V15" s="586"/>
      <c r="W15" s="586"/>
      <c r="X15" s="586"/>
      <c r="Y15" s="586"/>
      <c r="Z15" s="587"/>
    </row>
    <row r="16" spans="1:223" ht="24" customHeight="1" thickBot="1">
      <c r="A16" s="320"/>
      <c r="B16" s="319"/>
      <c r="C16" s="318"/>
      <c r="D16" s="317"/>
      <c r="E16" s="317"/>
      <c r="F16" s="316"/>
      <c r="G16" s="589"/>
      <c r="H16" s="590"/>
      <c r="I16" s="590"/>
      <c r="J16" s="588"/>
      <c r="K16" s="585"/>
      <c r="L16" s="585"/>
      <c r="M16" s="585"/>
      <c r="N16" s="585"/>
      <c r="O16" s="585"/>
      <c r="P16" s="585"/>
      <c r="Q16" s="585"/>
      <c r="R16" s="585"/>
      <c r="S16" s="586"/>
      <c r="T16" s="586"/>
      <c r="U16" s="586"/>
      <c r="V16" s="586"/>
      <c r="W16" s="586"/>
      <c r="X16" s="586"/>
      <c r="Y16" s="586"/>
      <c r="Z16" s="587"/>
    </row>
    <row r="17" spans="1:27" ht="14.5" customHeight="1">
      <c r="A17" s="591" t="s">
        <v>377</v>
      </c>
      <c r="B17" s="591"/>
      <c r="C17" s="314"/>
      <c r="D17" s="314"/>
      <c r="E17" s="314"/>
      <c r="F17" s="315">
        <f>+SUM(F9:F16)</f>
        <v>0</v>
      </c>
      <c r="G17" s="592">
        <f>+SUM(G9:J16)</f>
        <v>0</v>
      </c>
      <c r="H17" s="593"/>
      <c r="I17" s="593"/>
      <c r="J17" s="594"/>
      <c r="K17" s="595">
        <f>+SUM(K9:N16)</f>
        <v>0</v>
      </c>
      <c r="L17" s="593"/>
      <c r="M17" s="593"/>
      <c r="N17" s="594"/>
      <c r="O17" s="595">
        <f>+SUM(O9:R16)</f>
        <v>0</v>
      </c>
      <c r="P17" s="593"/>
      <c r="Q17" s="593"/>
      <c r="R17" s="594"/>
      <c r="S17" s="595">
        <f>+SUM(S9:V16)</f>
        <v>0</v>
      </c>
      <c r="T17" s="593"/>
      <c r="U17" s="593"/>
      <c r="V17" s="594"/>
      <c r="W17" s="595">
        <f>+SUM(W9:Z16)</f>
        <v>0</v>
      </c>
      <c r="X17" s="593"/>
      <c r="Y17" s="593"/>
      <c r="Z17" s="603"/>
    </row>
    <row r="18" spans="1:27">
      <c r="A18" s="591" t="s">
        <v>376</v>
      </c>
      <c r="B18" s="591"/>
      <c r="C18" s="314"/>
      <c r="D18" s="314"/>
      <c r="E18" s="314"/>
      <c r="F18" s="314"/>
      <c r="G18" s="599">
        <v>0</v>
      </c>
      <c r="H18" s="600"/>
      <c r="I18" s="600"/>
      <c r="J18" s="601"/>
      <c r="K18" s="602">
        <v>0</v>
      </c>
      <c r="L18" s="600"/>
      <c r="M18" s="600"/>
      <c r="N18" s="601"/>
      <c r="O18" s="602">
        <v>0</v>
      </c>
      <c r="P18" s="600"/>
      <c r="Q18" s="600"/>
      <c r="R18" s="601"/>
      <c r="S18" s="602">
        <v>0</v>
      </c>
      <c r="T18" s="600"/>
      <c r="U18" s="600"/>
      <c r="V18" s="601"/>
      <c r="W18" s="602">
        <v>0</v>
      </c>
      <c r="X18" s="600"/>
      <c r="Y18" s="600"/>
      <c r="Z18" s="614"/>
      <c r="AA18" s="309">
        <v>0</v>
      </c>
    </row>
    <row r="19" spans="1:27">
      <c r="A19" s="591" t="s">
        <v>375</v>
      </c>
      <c r="B19" s="591"/>
      <c r="C19" s="314"/>
      <c r="D19" s="314"/>
      <c r="E19" s="314"/>
      <c r="F19" s="314"/>
      <c r="G19" s="615">
        <f>+G17</f>
        <v>0</v>
      </c>
      <c r="H19" s="616"/>
      <c r="I19" s="616"/>
      <c r="J19" s="617"/>
      <c r="K19" s="596">
        <f>+G19+K17</f>
        <v>0</v>
      </c>
      <c r="L19" s="597"/>
      <c r="M19" s="597"/>
      <c r="N19" s="618"/>
      <c r="O19" s="596">
        <f>+K19+O17</f>
        <v>0</v>
      </c>
      <c r="P19" s="597"/>
      <c r="Q19" s="597"/>
      <c r="R19" s="618"/>
      <c r="S19" s="596">
        <f>+O19+S17</f>
        <v>0</v>
      </c>
      <c r="T19" s="597"/>
      <c r="U19" s="597"/>
      <c r="V19" s="618"/>
      <c r="W19" s="596">
        <f>+S19+W17</f>
        <v>0</v>
      </c>
      <c r="X19" s="597"/>
      <c r="Y19" s="597"/>
      <c r="Z19" s="598"/>
    </row>
    <row r="20" spans="1:27" ht="15" thickBot="1">
      <c r="A20" s="591" t="s">
        <v>374</v>
      </c>
      <c r="B20" s="591"/>
      <c r="C20" s="314"/>
      <c r="D20" s="314"/>
      <c r="E20" s="314"/>
      <c r="F20" s="314"/>
      <c r="G20" s="609">
        <f>+G18</f>
        <v>0</v>
      </c>
      <c r="H20" s="610"/>
      <c r="I20" s="610"/>
      <c r="J20" s="611"/>
      <c r="K20" s="612">
        <f>+G20+K18</f>
        <v>0</v>
      </c>
      <c r="L20" s="610"/>
      <c r="M20" s="610"/>
      <c r="N20" s="611"/>
      <c r="O20" s="612">
        <f>+K20+O18</f>
        <v>0</v>
      </c>
      <c r="P20" s="610"/>
      <c r="Q20" s="610"/>
      <c r="R20" s="611"/>
      <c r="S20" s="612">
        <f>+O20+S18</f>
        <v>0</v>
      </c>
      <c r="T20" s="610"/>
      <c r="U20" s="610"/>
      <c r="V20" s="611"/>
      <c r="W20" s="612">
        <v>0</v>
      </c>
      <c r="X20" s="610"/>
      <c r="Y20" s="610"/>
      <c r="Z20" s="613"/>
    </row>
    <row r="21" spans="1:27">
      <c r="F21" s="313">
        <f>+SUM(F8:F16)</f>
        <v>0</v>
      </c>
    </row>
    <row r="22" spans="1:27">
      <c r="B22" s="310"/>
      <c r="C22" s="310"/>
      <c r="G22" s="606" t="s">
        <v>441</v>
      </c>
      <c r="H22" s="607"/>
      <c r="I22" s="607"/>
      <c r="J22" s="607"/>
      <c r="K22" s="607"/>
      <c r="L22" s="607"/>
      <c r="M22" s="607"/>
      <c r="N22" s="607"/>
      <c r="O22" s="607"/>
      <c r="P22" s="607"/>
      <c r="Q22" s="607"/>
      <c r="R22" s="607"/>
      <c r="S22" s="607"/>
      <c r="T22" s="607"/>
      <c r="U22" s="607"/>
      <c r="V22" s="607"/>
      <c r="W22" s="607"/>
      <c r="X22" s="607"/>
      <c r="Y22" s="607"/>
      <c r="Z22" s="607"/>
    </row>
    <row r="23" spans="1:27">
      <c r="A23" s="312"/>
      <c r="B23" s="312"/>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row>
    <row r="24" spans="1:27">
      <c r="A24" s="312"/>
      <c r="B24" s="312"/>
      <c r="C24" s="312"/>
      <c r="D24" s="312"/>
      <c r="E24" s="312"/>
      <c r="F24" s="312"/>
      <c r="G24" s="312"/>
      <c r="H24" s="312"/>
      <c r="I24" s="312"/>
      <c r="J24" s="312"/>
      <c r="K24" s="312"/>
      <c r="L24" s="312"/>
      <c r="M24" s="312"/>
      <c r="N24" s="312"/>
      <c r="O24" s="312"/>
      <c r="P24" s="312"/>
      <c r="Q24" s="312"/>
      <c r="R24" s="312"/>
      <c r="S24" s="312"/>
      <c r="T24" s="312"/>
      <c r="U24" s="312"/>
      <c r="V24" s="312"/>
      <c r="W24" s="312"/>
      <c r="X24" s="312"/>
      <c r="Y24" s="312"/>
      <c r="Z24" s="312"/>
    </row>
    <row r="25" spans="1:27">
      <c r="A25" s="312"/>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row>
    <row r="26" spans="1:27">
      <c r="A26" s="312"/>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row>
    <row r="27" spans="1:27">
      <c r="B27" s="310" t="s">
        <v>373</v>
      </c>
      <c r="C27" s="310"/>
    </row>
    <row r="28" spans="1:27">
      <c r="B28" s="311" t="s">
        <v>372</v>
      </c>
      <c r="C28" s="310"/>
    </row>
    <row r="29" spans="1:27">
      <c r="B29" s="310" t="s">
        <v>371</v>
      </c>
      <c r="C29" s="310"/>
    </row>
    <row r="33" spans="1:26">
      <c r="A33" s="604" t="s">
        <v>428</v>
      </c>
      <c r="B33" s="605"/>
      <c r="C33" s="605"/>
      <c r="D33" s="605"/>
      <c r="E33" s="605"/>
      <c r="F33" s="605"/>
      <c r="G33" s="605"/>
      <c r="H33" s="605"/>
      <c r="I33" s="605"/>
      <c r="J33" s="605"/>
      <c r="K33" s="605"/>
      <c r="L33" s="605"/>
      <c r="M33" s="605"/>
      <c r="N33" s="605"/>
      <c r="O33" s="605"/>
      <c r="P33" s="605"/>
      <c r="Q33" s="605"/>
      <c r="R33" s="605"/>
      <c r="S33" s="605"/>
      <c r="T33" s="605"/>
      <c r="U33" s="605"/>
      <c r="V33" s="605"/>
      <c r="W33" s="605"/>
      <c r="X33" s="605"/>
      <c r="Y33" s="605"/>
      <c r="Z33" s="605"/>
    </row>
    <row r="34" spans="1:26">
      <c r="A34" s="605"/>
      <c r="B34" s="605"/>
      <c r="C34" s="605"/>
      <c r="D34" s="605"/>
      <c r="E34" s="605"/>
      <c r="F34" s="605"/>
      <c r="G34" s="605"/>
      <c r="H34" s="605"/>
      <c r="I34" s="605"/>
      <c r="J34" s="605"/>
      <c r="K34" s="605"/>
      <c r="L34" s="605"/>
      <c r="M34" s="605"/>
      <c r="N34" s="605"/>
      <c r="O34" s="605"/>
      <c r="P34" s="605"/>
      <c r="Q34" s="605"/>
      <c r="R34" s="605"/>
      <c r="S34" s="605"/>
      <c r="T34" s="605"/>
      <c r="U34" s="605"/>
      <c r="V34" s="605"/>
      <c r="W34" s="605"/>
      <c r="X34" s="605"/>
      <c r="Y34" s="605"/>
      <c r="Z34" s="605"/>
    </row>
    <row r="35" spans="1:26">
      <c r="A35" s="605"/>
      <c r="B35" s="605"/>
      <c r="C35" s="605"/>
      <c r="D35" s="605"/>
      <c r="E35" s="605"/>
      <c r="F35" s="605"/>
      <c r="G35" s="605"/>
      <c r="H35" s="605"/>
      <c r="I35" s="605"/>
      <c r="J35" s="605"/>
      <c r="K35" s="605"/>
      <c r="L35" s="605"/>
      <c r="M35" s="605"/>
      <c r="N35" s="605"/>
      <c r="O35" s="605"/>
      <c r="P35" s="605"/>
      <c r="Q35" s="605"/>
      <c r="R35" s="605"/>
      <c r="S35" s="605"/>
      <c r="T35" s="605"/>
      <c r="U35" s="605"/>
      <c r="V35" s="605"/>
      <c r="W35" s="605"/>
      <c r="X35" s="605"/>
      <c r="Y35" s="605"/>
      <c r="Z35" s="605"/>
    </row>
    <row r="36" spans="1:26">
      <c r="A36" s="605"/>
      <c r="B36" s="605"/>
      <c r="C36" s="605"/>
      <c r="D36" s="605"/>
      <c r="E36" s="605"/>
      <c r="F36" s="605"/>
      <c r="G36" s="605"/>
      <c r="H36" s="605"/>
      <c r="I36" s="605"/>
      <c r="J36" s="605"/>
      <c r="K36" s="605"/>
      <c r="L36" s="605"/>
      <c r="M36" s="605"/>
      <c r="N36" s="605"/>
      <c r="O36" s="605"/>
      <c r="P36" s="605"/>
      <c r="Q36" s="605"/>
      <c r="R36" s="605"/>
      <c r="S36" s="605"/>
      <c r="T36" s="605"/>
      <c r="U36" s="605"/>
      <c r="V36" s="605"/>
      <c r="W36" s="605"/>
      <c r="X36" s="605"/>
      <c r="Y36" s="605"/>
      <c r="Z36" s="605"/>
    </row>
    <row r="37" spans="1:26">
      <c r="A37" s="605"/>
      <c r="B37" s="605"/>
      <c r="C37" s="605"/>
      <c r="D37" s="605"/>
      <c r="E37" s="605"/>
      <c r="F37" s="605"/>
      <c r="G37" s="605"/>
      <c r="H37" s="605"/>
      <c r="I37" s="605"/>
      <c r="J37" s="605"/>
      <c r="K37" s="605"/>
      <c r="L37" s="605"/>
      <c r="M37" s="605"/>
      <c r="N37" s="605"/>
      <c r="O37" s="605"/>
      <c r="P37" s="605"/>
      <c r="Q37" s="605"/>
      <c r="R37" s="605"/>
      <c r="S37" s="605"/>
      <c r="T37" s="605"/>
      <c r="U37" s="605"/>
      <c r="V37" s="605"/>
      <c r="W37" s="605"/>
      <c r="X37" s="605"/>
      <c r="Y37" s="605"/>
      <c r="Z37" s="605"/>
    </row>
  </sheetData>
  <sheetProtection formatCells="0" formatColumns="0" formatRows="0" insertColumns="0" insertRows="0" insertHyperlinks="0" deleteColumns="0" deleteRows="0" sort="0" autoFilter="0" pivotTables="0"/>
  <mergeCells count="87">
    <mergeCell ref="W17:Z17"/>
    <mergeCell ref="A33:Z37"/>
    <mergeCell ref="G22:Z22"/>
    <mergeCell ref="A1:Z1"/>
    <mergeCell ref="A20:B20"/>
    <mergeCell ref="G20:J20"/>
    <mergeCell ref="K20:N20"/>
    <mergeCell ref="O20:R20"/>
    <mergeCell ref="S20:V20"/>
    <mergeCell ref="W20:Z20"/>
    <mergeCell ref="A19:B19"/>
    <mergeCell ref="W18:Z18"/>
    <mergeCell ref="G19:J19"/>
    <mergeCell ref="K19:N19"/>
    <mergeCell ref="O19:R19"/>
    <mergeCell ref="S19:V19"/>
    <mergeCell ref="W19:Z19"/>
    <mergeCell ref="A18:B18"/>
    <mergeCell ref="G18:J18"/>
    <mergeCell ref="K18:N18"/>
    <mergeCell ref="O18:R18"/>
    <mergeCell ref="S18:V18"/>
    <mergeCell ref="A17:B17"/>
    <mergeCell ref="G17:J17"/>
    <mergeCell ref="K17:N17"/>
    <mergeCell ref="O17:R17"/>
    <mergeCell ref="S17:V17"/>
    <mergeCell ref="G14:J14"/>
    <mergeCell ref="K14:N14"/>
    <mergeCell ref="O14:R14"/>
    <mergeCell ref="S14:V14"/>
    <mergeCell ref="W14:Z14"/>
    <mergeCell ref="G13:J13"/>
    <mergeCell ref="K13:N13"/>
    <mergeCell ref="O13:R13"/>
    <mergeCell ref="S13:V13"/>
    <mergeCell ref="W13:Z13"/>
    <mergeCell ref="G16:J16"/>
    <mergeCell ref="K16:N16"/>
    <mergeCell ref="O16:R16"/>
    <mergeCell ref="S16:V16"/>
    <mergeCell ref="W15:Z15"/>
    <mergeCell ref="W16:Z16"/>
    <mergeCell ref="G15:J15"/>
    <mergeCell ref="K15:N15"/>
    <mergeCell ref="O15:R15"/>
    <mergeCell ref="S15:V15"/>
    <mergeCell ref="G11:J11"/>
    <mergeCell ref="K11:N11"/>
    <mergeCell ref="O11:R11"/>
    <mergeCell ref="S11:V11"/>
    <mergeCell ref="W11:Z11"/>
    <mergeCell ref="G12:J12"/>
    <mergeCell ref="K12:N12"/>
    <mergeCell ref="O12:R12"/>
    <mergeCell ref="S12:V12"/>
    <mergeCell ref="W12:Z12"/>
    <mergeCell ref="G9:J9"/>
    <mergeCell ref="K9:N9"/>
    <mergeCell ref="O9:R9"/>
    <mergeCell ref="S9:V9"/>
    <mergeCell ref="W9:Z9"/>
    <mergeCell ref="G10:J10"/>
    <mergeCell ref="K10:N10"/>
    <mergeCell ref="O10:R10"/>
    <mergeCell ref="S10:V10"/>
    <mergeCell ref="W10:Z10"/>
    <mergeCell ref="A2:Z2"/>
    <mergeCell ref="A3:Z3"/>
    <mergeCell ref="A4:Z4"/>
    <mergeCell ref="A5:Z5"/>
    <mergeCell ref="A6:A7"/>
    <mergeCell ref="K6:N6"/>
    <mergeCell ref="O6:R6"/>
    <mergeCell ref="S6:V6"/>
    <mergeCell ref="W6:Z6"/>
    <mergeCell ref="B6:B7"/>
    <mergeCell ref="C6:C7"/>
    <mergeCell ref="D6:D7"/>
    <mergeCell ref="E6:E7"/>
    <mergeCell ref="F6:F7"/>
    <mergeCell ref="G6:J6"/>
    <mergeCell ref="G8:J8"/>
    <mergeCell ref="K8:N8"/>
    <mergeCell ref="O8:R8"/>
    <mergeCell ref="S8:V8"/>
    <mergeCell ref="W8:Z8"/>
  </mergeCells>
  <pageMargins left="0.7" right="0.7" top="0.75" bottom="0.75" header="0.3" footer="0.3"/>
  <pageSetup scale="2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3"/>
  <sheetViews>
    <sheetView showGridLines="0" topLeftCell="A41" zoomScaleNormal="100" zoomScaleSheetLayoutView="100" zoomScalePageLayoutView="85" workbookViewId="0">
      <selection activeCell="D57" sqref="D57"/>
    </sheetView>
  </sheetViews>
  <sheetFormatPr baseColWidth="10" defaultColWidth="11.453125" defaultRowHeight="13"/>
  <cols>
    <col min="1" max="1" width="33.7265625" style="336" customWidth="1"/>
    <col min="2" max="2" width="8.7265625" style="336" customWidth="1"/>
    <col min="3" max="3" width="13.81640625" style="335" customWidth="1"/>
    <col min="4" max="4" width="16.54296875" style="335" customWidth="1"/>
    <col min="5" max="5" width="14.81640625" style="335" customWidth="1"/>
    <col min="6" max="6" width="16.26953125" style="335" customWidth="1"/>
    <col min="7" max="7" width="17.453125" style="335" customWidth="1"/>
    <col min="8" max="8" width="3.7265625" style="334" customWidth="1"/>
    <col min="9" max="9" width="13.7265625" style="334" customWidth="1"/>
    <col min="10" max="24" width="10.7265625" style="334" customWidth="1"/>
    <col min="25" max="25" width="12.7265625" style="334" customWidth="1"/>
    <col min="26" max="29" width="11.453125" style="334"/>
    <col min="30" max="30" width="13.26953125" style="334" bestFit="1" customWidth="1"/>
    <col min="31" max="16384" width="11.453125" style="334"/>
  </cols>
  <sheetData>
    <row r="1" spans="1:30" ht="15" customHeight="1">
      <c r="A1" s="626"/>
      <c r="B1" s="626"/>
      <c r="C1" s="626"/>
      <c r="D1" s="626"/>
      <c r="E1" s="626"/>
      <c r="F1" s="626"/>
      <c r="G1" s="626"/>
      <c r="I1" s="338"/>
      <c r="J1" s="338"/>
      <c r="K1" s="338"/>
      <c r="L1" s="338"/>
      <c r="M1" s="338"/>
      <c r="N1" s="338"/>
      <c r="O1" s="338"/>
      <c r="P1" s="338"/>
      <c r="Q1" s="338"/>
      <c r="R1" s="338"/>
      <c r="S1" s="338"/>
      <c r="T1" s="338"/>
      <c r="U1" s="338"/>
      <c r="V1" s="338"/>
      <c r="W1" s="338"/>
      <c r="X1" s="338"/>
      <c r="Y1" s="338"/>
      <c r="Z1" s="338"/>
      <c r="AA1" s="338"/>
      <c r="AB1" s="338"/>
      <c r="AC1" s="338"/>
      <c r="AD1" s="338"/>
    </row>
    <row r="2" spans="1:30" ht="15" customHeight="1" thickBot="1">
      <c r="A2" s="626" t="s">
        <v>425</v>
      </c>
      <c r="B2" s="626"/>
      <c r="C2" s="626"/>
      <c r="D2" s="626"/>
      <c r="E2" s="626"/>
      <c r="F2" s="626"/>
      <c r="G2" s="626"/>
      <c r="I2" s="338"/>
      <c r="J2" s="338"/>
      <c r="K2" s="338"/>
      <c r="L2" s="338"/>
      <c r="M2" s="338"/>
      <c r="N2" s="338"/>
      <c r="O2" s="338"/>
      <c r="P2" s="338"/>
      <c r="Q2" s="338"/>
      <c r="R2" s="338"/>
      <c r="S2" s="338"/>
      <c r="T2" s="338"/>
      <c r="U2" s="338"/>
      <c r="V2" s="338"/>
      <c r="W2" s="338"/>
      <c r="X2" s="338"/>
      <c r="Y2" s="338"/>
      <c r="Z2" s="338"/>
      <c r="AA2" s="338"/>
      <c r="AB2" s="338"/>
      <c r="AC2" s="338"/>
      <c r="AD2" s="338"/>
    </row>
    <row r="3" spans="1:30" ht="15" customHeight="1" thickBot="1">
      <c r="A3" s="632" t="str">
        <f>+'1.- Matriz de inversión'!A3:L3</f>
        <v>SUBPROYECTO: "NOMBRE DEL SUBPROYECTO XYZ"</v>
      </c>
      <c r="B3" s="633"/>
      <c r="C3" s="633"/>
      <c r="D3" s="633"/>
      <c r="E3" s="633"/>
      <c r="F3" s="633"/>
      <c r="G3" s="633"/>
      <c r="I3" s="338"/>
      <c r="J3" s="338"/>
      <c r="K3" s="338"/>
      <c r="L3" s="338"/>
      <c r="M3" s="338"/>
      <c r="N3" s="338"/>
      <c r="O3" s="338"/>
      <c r="P3" s="338"/>
      <c r="Q3" s="338"/>
      <c r="R3" s="338"/>
      <c r="S3" s="338"/>
      <c r="T3" s="338"/>
      <c r="U3" s="338"/>
      <c r="V3" s="338"/>
      <c r="W3" s="338"/>
      <c r="X3" s="338"/>
      <c r="Y3" s="338"/>
      <c r="Z3" s="338"/>
      <c r="AA3" s="338"/>
      <c r="AB3" s="338"/>
      <c r="AC3" s="338"/>
      <c r="AD3" s="338"/>
    </row>
    <row r="4" spans="1:30" ht="15" customHeight="1">
      <c r="A4" s="629" t="s">
        <v>430</v>
      </c>
      <c r="B4" s="630"/>
      <c r="C4" s="630"/>
      <c r="D4" s="630"/>
      <c r="E4" s="630"/>
      <c r="F4" s="630"/>
      <c r="G4" s="631"/>
      <c r="I4" s="338"/>
      <c r="J4" s="338"/>
      <c r="K4" s="338"/>
      <c r="L4" s="338"/>
      <c r="M4" s="338"/>
      <c r="N4" s="338"/>
      <c r="O4" s="338"/>
      <c r="P4" s="338"/>
      <c r="Q4" s="338"/>
      <c r="R4" s="338"/>
      <c r="S4" s="338"/>
      <c r="T4" s="338"/>
      <c r="U4" s="338"/>
      <c r="V4" s="338"/>
      <c r="W4" s="338"/>
      <c r="X4" s="338"/>
      <c r="Y4" s="338"/>
      <c r="Z4" s="338"/>
      <c r="AA4" s="338"/>
      <c r="AB4" s="338"/>
      <c r="AC4" s="338"/>
      <c r="AD4" s="338"/>
    </row>
    <row r="5" spans="1:30" ht="15" customHeight="1">
      <c r="A5" s="377"/>
      <c r="F5" s="628" t="s">
        <v>424</v>
      </c>
      <c r="G5" s="627"/>
      <c r="I5" s="338"/>
      <c r="J5" s="338"/>
      <c r="K5" s="338"/>
      <c r="L5" s="338"/>
      <c r="M5" s="338"/>
      <c r="N5" s="338"/>
      <c r="O5" s="338"/>
      <c r="P5" s="338"/>
      <c r="Q5" s="338"/>
      <c r="R5" s="338"/>
      <c r="S5" s="338"/>
      <c r="T5" s="338"/>
      <c r="U5" s="338"/>
      <c r="V5" s="338"/>
      <c r="W5" s="338"/>
      <c r="X5" s="338"/>
      <c r="Y5" s="338"/>
      <c r="Z5" s="338"/>
      <c r="AA5" s="338"/>
      <c r="AB5" s="338"/>
      <c r="AC5" s="338"/>
      <c r="AD5" s="338"/>
    </row>
    <row r="6" spans="1:30" ht="15" customHeight="1">
      <c r="A6" s="377"/>
      <c r="F6" s="628"/>
      <c r="G6" s="627"/>
      <c r="I6" s="338"/>
      <c r="J6" s="338"/>
      <c r="K6" s="338"/>
      <c r="L6" s="338"/>
      <c r="M6" s="338"/>
      <c r="N6" s="338"/>
      <c r="O6" s="338"/>
      <c r="P6" s="338"/>
      <c r="Q6" s="338"/>
      <c r="R6" s="338"/>
      <c r="S6" s="338"/>
      <c r="T6" s="338"/>
      <c r="U6" s="338"/>
      <c r="V6" s="338"/>
      <c r="W6" s="338"/>
      <c r="X6" s="338"/>
      <c r="Y6" s="338"/>
      <c r="Z6" s="338"/>
      <c r="AA6" s="338"/>
      <c r="AB6" s="338"/>
      <c r="AC6" s="338"/>
      <c r="AD6" s="338"/>
    </row>
    <row r="7" spans="1:30" ht="15" customHeight="1">
      <c r="A7" s="349" t="s">
        <v>423</v>
      </c>
      <c r="D7" s="391"/>
      <c r="E7" s="392"/>
      <c r="F7" s="391" t="s">
        <v>422</v>
      </c>
      <c r="G7" s="627" t="s">
        <v>421</v>
      </c>
      <c r="I7" s="338"/>
      <c r="J7" s="338"/>
      <c r="K7" s="338"/>
      <c r="L7" s="338"/>
      <c r="M7" s="338"/>
      <c r="N7" s="338"/>
      <c r="O7" s="338"/>
      <c r="P7" s="338"/>
      <c r="Q7" s="338"/>
      <c r="R7" s="338"/>
      <c r="S7" s="338"/>
      <c r="T7" s="338"/>
      <c r="U7" s="338"/>
      <c r="V7" s="338"/>
      <c r="W7" s="338"/>
      <c r="X7" s="338"/>
      <c r="Y7" s="338"/>
      <c r="Z7" s="338"/>
      <c r="AA7" s="338"/>
      <c r="AB7" s="338"/>
      <c r="AC7" s="338"/>
      <c r="AD7" s="338"/>
    </row>
    <row r="8" spans="1:30" ht="15" customHeight="1">
      <c r="A8" s="377" t="s">
        <v>420</v>
      </c>
      <c r="F8" s="391"/>
      <c r="G8" s="627"/>
      <c r="I8" s="338"/>
      <c r="J8" s="338"/>
      <c r="K8" s="338"/>
      <c r="L8" s="338"/>
      <c r="M8" s="338"/>
      <c r="N8" s="338"/>
      <c r="O8" s="338"/>
      <c r="P8" s="338"/>
      <c r="Q8" s="338"/>
      <c r="R8" s="338"/>
      <c r="S8" s="338"/>
      <c r="T8" s="338"/>
      <c r="U8" s="338"/>
      <c r="V8" s="338"/>
      <c r="W8" s="338"/>
      <c r="X8" s="338"/>
      <c r="Y8" s="338"/>
      <c r="Z8" s="338"/>
      <c r="AA8" s="338"/>
      <c r="AB8" s="338"/>
      <c r="AC8" s="338"/>
      <c r="AD8" s="338"/>
    </row>
    <row r="9" spans="1:30" ht="15" customHeight="1">
      <c r="A9" s="349"/>
      <c r="F9" s="390" t="s">
        <v>419</v>
      </c>
      <c r="G9" s="389">
        <v>3</v>
      </c>
      <c r="I9" s="338"/>
      <c r="J9" s="338"/>
      <c r="K9" s="338"/>
      <c r="L9" s="338"/>
      <c r="M9" s="338"/>
      <c r="N9" s="338"/>
      <c r="O9" s="338"/>
      <c r="P9" s="338"/>
      <c r="Q9" s="338"/>
      <c r="R9" s="338"/>
      <c r="S9" s="338"/>
      <c r="T9" s="338"/>
      <c r="U9" s="338"/>
      <c r="V9" s="338"/>
      <c r="W9" s="338"/>
      <c r="X9" s="338"/>
      <c r="Y9" s="338"/>
      <c r="Z9" s="338"/>
      <c r="AA9" s="338"/>
      <c r="AB9" s="338"/>
      <c r="AC9" s="338"/>
      <c r="AD9" s="338"/>
    </row>
    <row r="10" spans="1:30" ht="15" customHeight="1">
      <c r="A10" s="375" t="s">
        <v>418</v>
      </c>
      <c r="B10" s="371"/>
      <c r="C10" s="374" t="s">
        <v>89</v>
      </c>
      <c r="D10" s="374" t="s">
        <v>417</v>
      </c>
      <c r="E10" s="374" t="s">
        <v>412</v>
      </c>
      <c r="F10" s="374" t="s">
        <v>411</v>
      </c>
      <c r="G10" s="373" t="s">
        <v>401</v>
      </c>
      <c r="I10" s="338"/>
      <c r="J10" s="338"/>
      <c r="K10" s="338"/>
      <c r="L10" s="338"/>
      <c r="M10" s="338"/>
      <c r="N10" s="338"/>
      <c r="O10" s="338"/>
      <c r="P10" s="338"/>
      <c r="Q10" s="338"/>
      <c r="R10" s="338"/>
      <c r="S10" s="338"/>
      <c r="T10" s="338"/>
      <c r="U10" s="338"/>
      <c r="V10" s="338"/>
      <c r="W10" s="338"/>
      <c r="X10" s="338"/>
      <c r="Y10" s="338"/>
      <c r="Z10" s="338"/>
      <c r="AA10" s="338"/>
      <c r="AB10" s="338"/>
      <c r="AC10" s="338"/>
      <c r="AD10" s="338"/>
    </row>
    <row r="11" spans="1:30" ht="15" customHeight="1">
      <c r="A11" s="372" t="s">
        <v>400</v>
      </c>
      <c r="B11" s="384"/>
      <c r="C11" s="369" t="s">
        <v>399</v>
      </c>
      <c r="D11" s="369" t="s">
        <v>398</v>
      </c>
      <c r="E11" s="369" t="s">
        <v>397</v>
      </c>
      <c r="F11" s="369" t="s">
        <v>410</v>
      </c>
      <c r="G11" s="368" t="s">
        <v>409</v>
      </c>
      <c r="I11" s="338"/>
      <c r="J11" s="338"/>
      <c r="K11" s="338"/>
      <c r="L11" s="338"/>
      <c r="M11" s="338"/>
      <c r="N11" s="338"/>
      <c r="O11" s="338"/>
      <c r="P11" s="338"/>
      <c r="Q11" s="338"/>
      <c r="R11" s="338"/>
      <c r="S11" s="338"/>
      <c r="T11" s="338"/>
      <c r="U11" s="338"/>
      <c r="V11" s="338"/>
      <c r="W11" s="338"/>
      <c r="X11" s="338"/>
      <c r="Y11" s="338"/>
      <c r="Z11" s="338"/>
      <c r="AA11" s="338"/>
      <c r="AB11" s="338"/>
      <c r="AC11" s="338"/>
      <c r="AD11" s="338"/>
    </row>
    <row r="12" spans="1:30" ht="15" customHeight="1">
      <c r="A12" s="383" t="s">
        <v>416</v>
      </c>
      <c r="B12" s="388"/>
      <c r="C12" s="387"/>
      <c r="D12" s="386"/>
      <c r="E12" s="386"/>
      <c r="F12" s="385"/>
      <c r="G12" s="351">
        <f>5%*G19</f>
        <v>0</v>
      </c>
      <c r="I12" s="338"/>
      <c r="J12" s="338"/>
      <c r="K12" s="338"/>
      <c r="L12" s="338"/>
      <c r="M12" s="338"/>
      <c r="N12" s="338"/>
      <c r="O12" s="338"/>
      <c r="P12" s="338"/>
      <c r="Q12" s="338"/>
      <c r="R12" s="338"/>
      <c r="S12" s="338"/>
      <c r="T12" s="338"/>
      <c r="U12" s="338"/>
      <c r="V12" s="338"/>
      <c r="W12" s="338"/>
      <c r="X12" s="338"/>
      <c r="Y12" s="338"/>
      <c r="Z12" s="338"/>
      <c r="AA12" s="338"/>
      <c r="AB12" s="338"/>
      <c r="AC12" s="338"/>
      <c r="AD12" s="338"/>
    </row>
    <row r="13" spans="1:30" ht="15" customHeight="1">
      <c r="A13" s="357" t="s">
        <v>415</v>
      </c>
      <c r="B13" s="356"/>
      <c r="C13" s="355"/>
      <c r="D13" s="355"/>
      <c r="E13" s="355"/>
      <c r="F13" s="355"/>
      <c r="G13" s="354">
        <f>SUM(G12:G12)</f>
        <v>0</v>
      </c>
      <c r="I13" s="338"/>
      <c r="J13" s="338"/>
      <c r="K13" s="338"/>
      <c r="L13" s="338"/>
      <c r="M13" s="338"/>
      <c r="N13" s="338"/>
      <c r="O13" s="338"/>
      <c r="P13" s="338"/>
      <c r="Q13" s="338"/>
      <c r="R13" s="338"/>
      <c r="S13" s="338"/>
      <c r="T13" s="338"/>
      <c r="U13" s="338"/>
      <c r="V13" s="338"/>
      <c r="W13" s="338"/>
      <c r="X13" s="338"/>
      <c r="Y13" s="338"/>
      <c r="Z13" s="338"/>
      <c r="AA13" s="338"/>
      <c r="AB13" s="338"/>
      <c r="AC13" s="338"/>
      <c r="AD13" s="338"/>
    </row>
    <row r="14" spans="1:30" ht="15" customHeight="1">
      <c r="A14" s="377"/>
      <c r="G14" s="376"/>
      <c r="I14" s="338"/>
      <c r="J14" s="338"/>
      <c r="K14" s="338"/>
      <c r="L14" s="338"/>
      <c r="M14" s="338"/>
      <c r="N14" s="338"/>
      <c r="O14" s="338"/>
      <c r="P14" s="338"/>
      <c r="Q14" s="338"/>
      <c r="R14" s="338"/>
      <c r="S14" s="338"/>
      <c r="T14" s="338"/>
      <c r="U14" s="338"/>
      <c r="V14" s="338"/>
      <c r="W14" s="338"/>
      <c r="X14" s="338"/>
      <c r="Y14" s="338"/>
      <c r="Z14" s="338"/>
      <c r="AA14" s="338"/>
      <c r="AB14" s="338"/>
      <c r="AC14" s="338"/>
      <c r="AD14" s="338"/>
    </row>
    <row r="15" spans="1:30" ht="15" customHeight="1">
      <c r="A15" s="375" t="s">
        <v>414</v>
      </c>
      <c r="B15" s="371"/>
      <c r="C15" s="374" t="s">
        <v>89</v>
      </c>
      <c r="D15" s="374" t="s">
        <v>413</v>
      </c>
      <c r="E15" s="374" t="s">
        <v>412</v>
      </c>
      <c r="F15" s="374" t="s">
        <v>411</v>
      </c>
      <c r="G15" s="373" t="s">
        <v>401</v>
      </c>
      <c r="I15" s="338"/>
      <c r="J15" s="338"/>
      <c r="K15" s="338"/>
      <c r="L15" s="338"/>
      <c r="M15" s="338"/>
      <c r="N15" s="338"/>
      <c r="O15" s="338"/>
      <c r="P15" s="338"/>
      <c r="Q15" s="338"/>
      <c r="R15" s="338"/>
      <c r="S15" s="338"/>
      <c r="T15" s="338"/>
      <c r="U15" s="338"/>
      <c r="V15" s="338"/>
      <c r="W15" s="338"/>
      <c r="X15" s="338"/>
      <c r="Y15" s="338"/>
      <c r="Z15" s="338"/>
      <c r="AA15" s="338"/>
      <c r="AB15" s="338"/>
      <c r="AC15" s="338"/>
      <c r="AD15" s="338"/>
    </row>
    <row r="16" spans="1:30" ht="15" customHeight="1">
      <c r="A16" s="372" t="s">
        <v>400</v>
      </c>
      <c r="B16" s="384"/>
      <c r="C16" s="369" t="s">
        <v>399</v>
      </c>
      <c r="D16" s="369" t="s">
        <v>398</v>
      </c>
      <c r="E16" s="369" t="s">
        <v>397</v>
      </c>
      <c r="F16" s="369" t="s">
        <v>410</v>
      </c>
      <c r="G16" s="368" t="s">
        <v>409</v>
      </c>
      <c r="I16" s="338"/>
      <c r="J16" s="338"/>
      <c r="K16" s="338"/>
      <c r="L16" s="338"/>
      <c r="M16" s="338"/>
      <c r="N16" s="338"/>
      <c r="O16" s="338"/>
      <c r="P16" s="338"/>
      <c r="Q16" s="338"/>
      <c r="R16" s="338"/>
      <c r="S16" s="338"/>
      <c r="T16" s="338"/>
      <c r="U16" s="338"/>
      <c r="V16" s="338"/>
      <c r="W16" s="338"/>
      <c r="X16" s="338"/>
      <c r="Y16" s="338"/>
      <c r="Z16" s="338"/>
      <c r="AA16" s="338"/>
      <c r="AB16" s="338"/>
      <c r="AC16" s="338"/>
      <c r="AD16" s="338"/>
    </row>
    <row r="17" spans="1:30" ht="15" customHeight="1">
      <c r="A17" s="349" t="s">
        <v>408</v>
      </c>
      <c r="B17" s="382"/>
      <c r="C17" s="380"/>
      <c r="D17" s="381"/>
      <c r="E17" s="380"/>
      <c r="F17" s="367"/>
      <c r="G17" s="351">
        <f>E17*F17</f>
        <v>0</v>
      </c>
      <c r="I17" s="338"/>
      <c r="J17" s="338"/>
      <c r="K17" s="338"/>
      <c r="L17" s="338"/>
      <c r="M17" s="338"/>
      <c r="N17" s="338"/>
      <c r="O17" s="338"/>
      <c r="P17" s="338"/>
      <c r="Q17" s="338"/>
      <c r="R17" s="338"/>
      <c r="S17" s="338"/>
      <c r="T17" s="338"/>
      <c r="U17" s="338"/>
      <c r="V17" s="338"/>
      <c r="W17" s="338"/>
      <c r="X17" s="338"/>
      <c r="Y17" s="338"/>
      <c r="Z17" s="338"/>
      <c r="AA17" s="338"/>
      <c r="AB17" s="338"/>
      <c r="AC17" s="338"/>
      <c r="AD17" s="338"/>
    </row>
    <row r="18" spans="1:30" ht="15" customHeight="1">
      <c r="A18" s="383" t="s">
        <v>407</v>
      </c>
      <c r="B18" s="382"/>
      <c r="C18" s="380"/>
      <c r="D18" s="381"/>
      <c r="E18" s="380"/>
      <c r="F18" s="367"/>
      <c r="G18" s="351">
        <f>E18*F18</f>
        <v>0</v>
      </c>
      <c r="I18" s="338"/>
      <c r="J18" s="338"/>
      <c r="K18" s="338"/>
      <c r="L18" s="338"/>
      <c r="M18" s="338"/>
      <c r="N18" s="338"/>
      <c r="O18" s="338"/>
      <c r="P18" s="338"/>
      <c r="Q18" s="338"/>
      <c r="R18" s="338"/>
      <c r="S18" s="338"/>
      <c r="T18" s="338"/>
      <c r="U18" s="338"/>
      <c r="V18" s="338"/>
      <c r="W18" s="338"/>
      <c r="X18" s="338"/>
      <c r="Y18" s="338"/>
      <c r="Z18" s="338"/>
      <c r="AA18" s="338"/>
      <c r="AB18" s="338"/>
      <c r="AC18" s="338"/>
      <c r="AD18" s="338"/>
    </row>
    <row r="19" spans="1:30" ht="15" customHeight="1">
      <c r="A19" s="357" t="s">
        <v>406</v>
      </c>
      <c r="B19" s="356"/>
      <c r="C19" s="355"/>
      <c r="D19" s="355"/>
      <c r="E19" s="355"/>
      <c r="F19" s="355"/>
      <c r="G19" s="354">
        <f>SUM(G17:G18)</f>
        <v>0</v>
      </c>
      <c r="I19" s="338"/>
      <c r="J19" s="338"/>
      <c r="K19" s="338"/>
      <c r="L19" s="338"/>
      <c r="M19" s="338"/>
      <c r="N19" s="338"/>
      <c r="O19" s="338"/>
      <c r="P19" s="338"/>
      <c r="Q19" s="338"/>
      <c r="R19" s="338"/>
      <c r="S19" s="338"/>
      <c r="T19" s="338"/>
      <c r="U19" s="338"/>
      <c r="V19" s="338"/>
      <c r="W19" s="338"/>
      <c r="X19" s="338"/>
      <c r="Y19" s="338"/>
      <c r="Z19" s="338"/>
      <c r="AA19" s="338"/>
      <c r="AB19" s="338"/>
      <c r="AC19" s="338"/>
      <c r="AD19" s="338"/>
    </row>
    <row r="20" spans="1:30" ht="15" customHeight="1">
      <c r="A20" s="377"/>
      <c r="G20" s="376"/>
      <c r="I20" s="338"/>
      <c r="J20" s="338"/>
      <c r="K20" s="338"/>
      <c r="L20" s="338"/>
      <c r="M20" s="338"/>
      <c r="N20" s="338"/>
      <c r="O20" s="338"/>
      <c r="P20" s="338"/>
      <c r="Q20" s="338"/>
      <c r="R20" s="338"/>
      <c r="S20" s="338"/>
      <c r="T20" s="338"/>
      <c r="U20" s="338"/>
      <c r="V20" s="338"/>
      <c r="W20" s="338"/>
      <c r="X20" s="338"/>
      <c r="Y20" s="338"/>
      <c r="Z20" s="338"/>
      <c r="AA20" s="338"/>
      <c r="AB20" s="338"/>
      <c r="AC20" s="338"/>
      <c r="AD20" s="338"/>
    </row>
    <row r="21" spans="1:30" ht="15" customHeight="1">
      <c r="A21" s="375" t="s">
        <v>405</v>
      </c>
      <c r="B21" s="371"/>
      <c r="C21" s="370"/>
      <c r="D21" s="374" t="s">
        <v>88</v>
      </c>
      <c r="E21" s="374" t="s">
        <v>89</v>
      </c>
      <c r="F21" s="374" t="s">
        <v>402</v>
      </c>
      <c r="G21" s="373" t="s">
        <v>401</v>
      </c>
      <c r="I21" s="338"/>
      <c r="J21" s="338"/>
      <c r="K21" s="338"/>
      <c r="L21" s="338"/>
      <c r="M21" s="338"/>
      <c r="N21" s="338"/>
      <c r="O21" s="338"/>
      <c r="P21" s="338"/>
      <c r="Q21" s="338"/>
      <c r="R21" s="338"/>
      <c r="S21" s="338"/>
      <c r="T21" s="338"/>
      <c r="U21" s="338"/>
      <c r="V21" s="338"/>
      <c r="W21" s="338"/>
      <c r="X21" s="338"/>
      <c r="Y21" s="338"/>
      <c r="Z21" s="338"/>
      <c r="AA21" s="338"/>
      <c r="AB21" s="338"/>
      <c r="AC21" s="338"/>
      <c r="AD21" s="338"/>
    </row>
    <row r="22" spans="1:30" ht="15" customHeight="1">
      <c r="A22" s="372" t="s">
        <v>400</v>
      </c>
      <c r="B22" s="371"/>
      <c r="C22" s="370"/>
      <c r="D22" s="369"/>
      <c r="E22" s="369" t="s">
        <v>399</v>
      </c>
      <c r="F22" s="369" t="s">
        <v>398</v>
      </c>
      <c r="G22" s="368" t="s">
        <v>397</v>
      </c>
      <c r="I22" s="338"/>
      <c r="J22" s="338"/>
      <c r="K22" s="338"/>
      <c r="L22" s="338"/>
      <c r="M22" s="338"/>
      <c r="N22" s="338"/>
      <c r="O22" s="338"/>
      <c r="P22" s="338"/>
      <c r="Q22" s="338"/>
      <c r="R22" s="338"/>
      <c r="S22" s="338"/>
      <c r="T22" s="338"/>
      <c r="U22" s="338"/>
      <c r="V22" s="338"/>
      <c r="W22" s="338"/>
      <c r="X22" s="338"/>
      <c r="Y22" s="338"/>
      <c r="Z22" s="338"/>
      <c r="AA22" s="338"/>
      <c r="AB22" s="338"/>
      <c r="AC22" s="338"/>
      <c r="AD22" s="338"/>
    </row>
    <row r="23" spans="1:30" ht="15" customHeight="1">
      <c r="A23" s="622"/>
      <c r="B23" s="623"/>
      <c r="C23" s="624"/>
      <c r="D23" s="361"/>
      <c r="E23" s="360"/>
      <c r="F23" s="379"/>
      <c r="G23" s="378">
        <f>E23*F23</f>
        <v>0</v>
      </c>
      <c r="I23" s="338"/>
      <c r="J23" s="338"/>
      <c r="K23" s="338"/>
      <c r="L23" s="338"/>
      <c r="M23" s="338"/>
      <c r="N23" s="338"/>
      <c r="O23" s="338"/>
      <c r="P23" s="338"/>
      <c r="Q23" s="338"/>
      <c r="R23" s="338"/>
      <c r="S23" s="338"/>
      <c r="T23" s="338"/>
      <c r="U23" s="338"/>
      <c r="V23" s="338"/>
      <c r="W23" s="338"/>
      <c r="X23" s="338"/>
      <c r="Y23" s="338"/>
      <c r="Z23" s="338"/>
      <c r="AA23" s="338"/>
      <c r="AB23" s="338"/>
      <c r="AC23" s="338"/>
      <c r="AD23" s="338"/>
    </row>
    <row r="24" spans="1:30" ht="15" customHeight="1">
      <c r="A24" s="357" t="s">
        <v>404</v>
      </c>
      <c r="B24" s="356"/>
      <c r="C24" s="355"/>
      <c r="D24" s="355"/>
      <c r="E24" s="355"/>
      <c r="F24" s="355"/>
      <c r="G24" s="354">
        <f>SUM(G23:G23)</f>
        <v>0</v>
      </c>
      <c r="I24" s="338"/>
      <c r="J24" s="338"/>
      <c r="K24" s="338"/>
      <c r="L24" s="338"/>
      <c r="M24" s="338"/>
      <c r="N24" s="338"/>
      <c r="O24" s="338"/>
      <c r="P24" s="338"/>
      <c r="Q24" s="338"/>
      <c r="R24" s="338"/>
      <c r="S24" s="338"/>
      <c r="T24" s="338"/>
      <c r="U24" s="338"/>
      <c r="V24" s="338"/>
      <c r="W24" s="338"/>
      <c r="X24" s="338"/>
      <c r="Y24" s="338"/>
      <c r="Z24" s="338"/>
      <c r="AA24" s="338"/>
      <c r="AB24" s="338"/>
      <c r="AC24" s="338"/>
      <c r="AD24" s="338"/>
    </row>
    <row r="25" spans="1:30" ht="15" customHeight="1">
      <c r="A25" s="377"/>
      <c r="G25" s="376"/>
      <c r="I25" s="338"/>
      <c r="J25" s="338"/>
      <c r="K25" s="338"/>
      <c r="L25" s="338"/>
      <c r="M25" s="338"/>
      <c r="N25" s="338"/>
      <c r="O25" s="338"/>
      <c r="P25" s="338"/>
      <c r="Q25" s="338"/>
      <c r="R25" s="338"/>
      <c r="S25" s="338"/>
      <c r="T25" s="338"/>
      <c r="U25" s="338"/>
      <c r="V25" s="338"/>
      <c r="W25" s="338"/>
      <c r="X25" s="338"/>
      <c r="Y25" s="338"/>
      <c r="Z25" s="338"/>
      <c r="AA25" s="338"/>
      <c r="AB25" s="338"/>
      <c r="AC25" s="338"/>
      <c r="AD25" s="338"/>
    </row>
    <row r="26" spans="1:30" ht="15" customHeight="1">
      <c r="A26" s="375" t="s">
        <v>403</v>
      </c>
      <c r="B26" s="371"/>
      <c r="C26" s="370"/>
      <c r="D26" s="374" t="s">
        <v>88</v>
      </c>
      <c r="E26" s="374" t="s">
        <v>89</v>
      </c>
      <c r="F26" s="374" t="s">
        <v>402</v>
      </c>
      <c r="G26" s="373" t="s">
        <v>401</v>
      </c>
      <c r="I26" s="338"/>
      <c r="J26" s="338"/>
      <c r="K26" s="338"/>
      <c r="L26" s="338"/>
      <c r="M26" s="338"/>
      <c r="N26" s="338"/>
      <c r="O26" s="338"/>
      <c r="P26" s="338"/>
      <c r="Q26" s="338"/>
      <c r="R26" s="338"/>
      <c r="S26" s="338"/>
      <c r="T26" s="338"/>
      <c r="U26" s="338"/>
      <c r="V26" s="338"/>
      <c r="W26" s="338"/>
      <c r="X26" s="338"/>
      <c r="Y26" s="338"/>
      <c r="Z26" s="338"/>
      <c r="AA26" s="338"/>
      <c r="AB26" s="338"/>
      <c r="AC26" s="338"/>
      <c r="AD26" s="338"/>
    </row>
    <row r="27" spans="1:30" ht="15" customHeight="1">
      <c r="A27" s="372" t="s">
        <v>400</v>
      </c>
      <c r="B27" s="371"/>
      <c r="C27" s="370"/>
      <c r="D27" s="369"/>
      <c r="E27" s="369" t="s">
        <v>399</v>
      </c>
      <c r="F27" s="369" t="s">
        <v>398</v>
      </c>
      <c r="G27" s="368" t="s">
        <v>397</v>
      </c>
      <c r="I27" s="338"/>
      <c r="J27" s="338"/>
      <c r="K27" s="338"/>
      <c r="L27" s="338"/>
      <c r="M27" s="338"/>
      <c r="N27" s="338"/>
      <c r="O27" s="338"/>
      <c r="P27" s="338"/>
      <c r="Q27" s="338"/>
      <c r="R27" s="338"/>
      <c r="S27" s="338"/>
      <c r="T27" s="338"/>
      <c r="U27" s="338"/>
      <c r="V27" s="338"/>
      <c r="W27" s="338"/>
      <c r="X27" s="338"/>
      <c r="Y27" s="338"/>
      <c r="Z27" s="338"/>
      <c r="AA27" s="338"/>
      <c r="AB27" s="338"/>
      <c r="AC27" s="338"/>
      <c r="AD27" s="338"/>
    </row>
    <row r="28" spans="1:30" ht="15" customHeight="1">
      <c r="A28" s="619"/>
      <c r="B28" s="620"/>
      <c r="C28" s="621"/>
      <c r="D28" s="363"/>
      <c r="E28" s="362"/>
      <c r="F28" s="367"/>
      <c r="G28" s="358">
        <f>E28*F28</f>
        <v>0</v>
      </c>
      <c r="I28" s="338"/>
      <c r="J28" s="338"/>
      <c r="K28" s="338"/>
      <c r="L28" s="338"/>
      <c r="M28" s="338"/>
      <c r="N28" s="338"/>
      <c r="O28" s="338"/>
      <c r="P28" s="338"/>
      <c r="Q28" s="338"/>
      <c r="R28" s="338"/>
      <c r="S28" s="338"/>
      <c r="T28" s="338"/>
      <c r="U28" s="338"/>
      <c r="V28" s="338"/>
      <c r="W28" s="338"/>
      <c r="X28" s="338"/>
      <c r="Y28" s="338"/>
      <c r="Z28" s="338"/>
      <c r="AA28" s="338"/>
      <c r="AB28" s="338"/>
      <c r="AC28" s="338"/>
      <c r="AD28" s="338"/>
    </row>
    <row r="29" spans="1:30" ht="15" customHeight="1">
      <c r="A29" s="366"/>
      <c r="B29" s="365"/>
      <c r="C29" s="364"/>
      <c r="D29" s="363"/>
      <c r="E29" s="362"/>
      <c r="F29" s="359"/>
      <c r="G29" s="358">
        <f>E29*F29</f>
        <v>0</v>
      </c>
      <c r="I29" s="338"/>
      <c r="J29" s="338"/>
      <c r="K29" s="338"/>
      <c r="L29" s="338"/>
      <c r="M29" s="338"/>
      <c r="N29" s="338"/>
      <c r="O29" s="338"/>
      <c r="P29" s="338"/>
      <c r="Q29" s="338"/>
      <c r="R29" s="338"/>
      <c r="S29" s="338"/>
      <c r="T29" s="338"/>
      <c r="U29" s="338"/>
      <c r="V29" s="338"/>
      <c r="W29" s="338"/>
      <c r="X29" s="338"/>
      <c r="Y29" s="338"/>
      <c r="Z29" s="338"/>
      <c r="AA29" s="338"/>
      <c r="AB29" s="338"/>
      <c r="AC29" s="338"/>
      <c r="AD29" s="338"/>
    </row>
    <row r="30" spans="1:30" ht="15" customHeight="1">
      <c r="A30" s="366"/>
      <c r="B30" s="365"/>
      <c r="C30" s="364"/>
      <c r="D30" s="363"/>
      <c r="E30" s="362"/>
      <c r="F30" s="359"/>
      <c r="G30" s="358">
        <f>E30*F30</f>
        <v>0</v>
      </c>
      <c r="I30" s="338"/>
      <c r="J30" s="338"/>
      <c r="K30" s="338"/>
      <c r="L30" s="338"/>
      <c r="M30" s="338"/>
      <c r="N30" s="338"/>
      <c r="O30" s="338"/>
      <c r="P30" s="338"/>
      <c r="Q30" s="338"/>
      <c r="R30" s="338"/>
      <c r="S30" s="338"/>
      <c r="T30" s="338"/>
      <c r="U30" s="338"/>
      <c r="V30" s="338"/>
      <c r="W30" s="338"/>
      <c r="X30" s="338"/>
      <c r="Y30" s="338"/>
      <c r="Z30" s="338"/>
      <c r="AA30" s="338"/>
      <c r="AB30" s="338"/>
      <c r="AC30" s="338"/>
      <c r="AD30" s="338"/>
    </row>
    <row r="31" spans="1:30" ht="15" customHeight="1">
      <c r="A31" s="622"/>
      <c r="B31" s="623"/>
      <c r="C31" s="624"/>
      <c r="D31" s="361"/>
      <c r="E31" s="360"/>
      <c r="F31" s="359"/>
      <c r="G31" s="358"/>
      <c r="I31" s="338"/>
      <c r="J31" s="338"/>
      <c r="K31" s="338"/>
      <c r="L31" s="338"/>
      <c r="M31" s="338"/>
      <c r="N31" s="338"/>
      <c r="O31" s="338"/>
      <c r="P31" s="338"/>
      <c r="Q31" s="338"/>
      <c r="R31" s="338"/>
      <c r="S31" s="338"/>
      <c r="T31" s="338"/>
      <c r="U31" s="338"/>
      <c r="V31" s="338"/>
      <c r="W31" s="338"/>
      <c r="X31" s="338"/>
      <c r="Y31" s="338"/>
      <c r="Z31" s="338"/>
      <c r="AA31" s="338"/>
      <c r="AB31" s="338"/>
      <c r="AC31" s="338"/>
      <c r="AD31" s="338"/>
    </row>
    <row r="32" spans="1:30" ht="15" customHeight="1">
      <c r="A32" s="357" t="s">
        <v>396</v>
      </c>
      <c r="B32" s="356"/>
      <c r="C32" s="355"/>
      <c r="D32" s="336"/>
      <c r="E32" s="336"/>
      <c r="F32" s="336"/>
      <c r="G32" s="354">
        <f>SUM(G28:G31)</f>
        <v>0</v>
      </c>
      <c r="I32" s="338"/>
      <c r="J32" s="338"/>
      <c r="K32" s="338"/>
      <c r="L32" s="338"/>
      <c r="M32" s="338"/>
      <c r="N32" s="338"/>
      <c r="O32" s="338"/>
      <c r="P32" s="338"/>
      <c r="Q32" s="338"/>
      <c r="R32" s="338"/>
      <c r="S32" s="338"/>
      <c r="T32" s="338"/>
      <c r="U32" s="338"/>
      <c r="V32" s="338"/>
      <c r="W32" s="338"/>
      <c r="X32" s="338"/>
      <c r="Y32" s="338"/>
      <c r="Z32" s="338"/>
      <c r="AA32" s="338"/>
      <c r="AB32" s="338"/>
      <c r="AC32" s="338"/>
      <c r="AD32" s="338"/>
    </row>
    <row r="33" spans="1:30" ht="15" customHeight="1">
      <c r="A33" s="349"/>
      <c r="C33" s="353" t="s">
        <v>395</v>
      </c>
      <c r="D33" s="348" t="s">
        <v>394</v>
      </c>
      <c r="E33" s="347"/>
      <c r="F33" s="346"/>
      <c r="G33" s="350">
        <f>G13+G19+G24+G32</f>
        <v>0</v>
      </c>
      <c r="I33" s="338"/>
      <c r="J33" s="338"/>
      <c r="K33" s="338"/>
      <c r="L33" s="338"/>
      <c r="M33" s="338"/>
      <c r="N33" s="338"/>
      <c r="O33" s="338"/>
      <c r="P33" s="338"/>
      <c r="Q33" s="338"/>
      <c r="R33" s="338"/>
      <c r="S33" s="338"/>
      <c r="T33" s="338"/>
      <c r="U33" s="338"/>
      <c r="V33" s="338"/>
      <c r="W33" s="338"/>
      <c r="X33" s="338"/>
      <c r="Y33" s="338"/>
      <c r="Z33" s="338"/>
      <c r="AA33" s="338"/>
      <c r="AB33" s="338"/>
      <c r="AC33" s="338"/>
      <c r="AD33" s="338"/>
    </row>
    <row r="34" spans="1:30" ht="15" customHeight="1">
      <c r="A34" s="349"/>
      <c r="D34" s="348" t="s">
        <v>393</v>
      </c>
      <c r="E34" s="347"/>
      <c r="F34" s="352">
        <v>0</v>
      </c>
      <c r="G34" s="351">
        <f>15%*G33</f>
        <v>0</v>
      </c>
      <c r="I34" s="338"/>
      <c r="J34" s="338"/>
      <c r="K34" s="338"/>
      <c r="L34" s="338"/>
      <c r="M34" s="338"/>
      <c r="N34" s="338"/>
      <c r="O34" s="338"/>
      <c r="P34" s="338"/>
      <c r="Q34" s="338"/>
      <c r="R34" s="338"/>
      <c r="S34" s="338"/>
      <c r="T34" s="338"/>
      <c r="U34" s="338"/>
      <c r="V34" s="338"/>
      <c r="W34" s="338"/>
      <c r="X34" s="338"/>
      <c r="Y34" s="338"/>
      <c r="Z34" s="338"/>
      <c r="AA34" s="338"/>
      <c r="AB34" s="338"/>
      <c r="AC34" s="338"/>
      <c r="AD34" s="338"/>
    </row>
    <row r="35" spans="1:30" ht="15" customHeight="1">
      <c r="A35" s="349"/>
      <c r="D35" s="348" t="s">
        <v>392</v>
      </c>
      <c r="E35" s="347"/>
      <c r="F35" s="352">
        <v>0</v>
      </c>
      <c r="G35" s="351">
        <f>+G33*0.05</f>
        <v>0</v>
      </c>
      <c r="I35" s="338"/>
      <c r="J35" s="338"/>
      <c r="K35" s="338"/>
      <c r="L35" s="338"/>
      <c r="M35" s="338"/>
      <c r="N35" s="338"/>
      <c r="O35" s="338"/>
      <c r="P35" s="338"/>
      <c r="Q35" s="338"/>
      <c r="R35" s="338"/>
      <c r="S35" s="338"/>
      <c r="T35" s="338"/>
      <c r="U35" s="338"/>
      <c r="V35" s="338"/>
      <c r="W35" s="338"/>
      <c r="X35" s="338"/>
      <c r="Y35" s="338"/>
      <c r="Z35" s="338"/>
      <c r="AA35" s="338"/>
      <c r="AB35" s="338"/>
      <c r="AC35" s="338"/>
      <c r="AD35" s="338"/>
    </row>
    <row r="36" spans="1:30" ht="15" customHeight="1">
      <c r="A36" s="349"/>
      <c r="D36" s="348" t="s">
        <v>391</v>
      </c>
      <c r="E36" s="347"/>
      <c r="F36" s="346"/>
      <c r="G36" s="350">
        <f>G33+G34+G35</f>
        <v>0</v>
      </c>
      <c r="I36" s="338"/>
      <c r="J36" s="338"/>
      <c r="K36" s="338"/>
      <c r="L36" s="338"/>
      <c r="M36" s="338"/>
      <c r="N36" s="338"/>
      <c r="O36" s="338"/>
      <c r="P36" s="338"/>
      <c r="Q36" s="338"/>
      <c r="R36" s="338"/>
      <c r="S36" s="338"/>
      <c r="T36" s="338"/>
      <c r="U36" s="338"/>
      <c r="V36" s="338"/>
      <c r="W36" s="338"/>
      <c r="X36" s="338"/>
      <c r="Y36" s="338"/>
      <c r="Z36" s="338"/>
      <c r="AA36" s="338"/>
      <c r="AB36" s="338"/>
      <c r="AC36" s="338"/>
      <c r="AD36" s="338"/>
    </row>
    <row r="37" spans="1:30" ht="15" customHeight="1">
      <c r="A37" s="349"/>
      <c r="D37" s="348" t="s">
        <v>46</v>
      </c>
      <c r="E37" s="347"/>
      <c r="F37" s="346"/>
      <c r="G37" s="345">
        <f>G36</f>
        <v>0</v>
      </c>
      <c r="I37" s="338"/>
      <c r="J37" s="338"/>
      <c r="K37" s="338"/>
      <c r="L37" s="338"/>
      <c r="M37" s="338"/>
      <c r="N37" s="338"/>
      <c r="O37" s="338"/>
      <c r="P37" s="338"/>
      <c r="Q37" s="338"/>
      <c r="R37" s="338"/>
      <c r="S37" s="338"/>
      <c r="T37" s="338"/>
      <c r="U37" s="338"/>
      <c r="V37" s="338"/>
      <c r="W37" s="338"/>
      <c r="X37" s="338"/>
      <c r="Y37" s="338"/>
      <c r="Z37" s="338"/>
      <c r="AA37" s="338"/>
      <c r="AB37" s="338"/>
      <c r="AC37" s="338"/>
      <c r="AD37" s="338"/>
    </row>
    <row r="38" spans="1:30" ht="15" customHeight="1" thickBot="1">
      <c r="A38" s="344"/>
      <c r="B38" s="343"/>
      <c r="C38" s="342"/>
      <c r="D38" s="342"/>
      <c r="E38" s="342"/>
      <c r="F38" s="342"/>
      <c r="G38" s="341"/>
      <c r="I38" s="338"/>
      <c r="J38" s="338"/>
      <c r="K38" s="338"/>
      <c r="L38" s="338"/>
      <c r="M38" s="338"/>
      <c r="N38" s="338"/>
      <c r="O38" s="338"/>
      <c r="P38" s="338"/>
      <c r="Q38" s="338"/>
      <c r="R38" s="338"/>
      <c r="S38" s="338"/>
      <c r="T38" s="338"/>
      <c r="U38" s="338"/>
      <c r="V38" s="338"/>
      <c r="W38" s="338"/>
      <c r="X38" s="338"/>
      <c r="Y38" s="338"/>
      <c r="Z38" s="338"/>
      <c r="AA38" s="338"/>
      <c r="AB38" s="338"/>
      <c r="AC38" s="338"/>
      <c r="AD38" s="338"/>
    </row>
    <row r="39" spans="1:30" ht="15" customHeight="1">
      <c r="A39" s="340"/>
      <c r="I39" s="338"/>
      <c r="J39" s="338"/>
      <c r="K39" s="338"/>
      <c r="L39" s="338"/>
      <c r="M39" s="338"/>
      <c r="N39" s="338"/>
      <c r="O39" s="338"/>
      <c r="P39" s="338"/>
      <c r="Q39" s="338"/>
      <c r="R39" s="338"/>
      <c r="S39" s="338"/>
      <c r="T39" s="338"/>
      <c r="U39" s="338"/>
      <c r="V39" s="338"/>
      <c r="W39" s="338"/>
      <c r="X39" s="338"/>
      <c r="Y39" s="338"/>
      <c r="Z39" s="338"/>
      <c r="AA39" s="338"/>
      <c r="AB39" s="338"/>
      <c r="AC39" s="338"/>
      <c r="AD39" s="338"/>
    </row>
    <row r="40" spans="1:30" ht="15" customHeight="1">
      <c r="A40" s="340" t="s">
        <v>390</v>
      </c>
      <c r="I40" s="338"/>
      <c r="J40" s="338"/>
      <c r="K40" s="338"/>
      <c r="L40" s="338"/>
      <c r="M40" s="338"/>
      <c r="N40" s="338"/>
      <c r="O40" s="338"/>
      <c r="P40" s="338"/>
      <c r="Q40" s="338"/>
      <c r="R40" s="338"/>
      <c r="S40" s="338"/>
      <c r="T40" s="338"/>
      <c r="U40" s="338"/>
      <c r="V40" s="338"/>
      <c r="W40" s="338"/>
      <c r="X40" s="338"/>
      <c r="Y40" s="338"/>
      <c r="Z40" s="338"/>
      <c r="AA40" s="338"/>
      <c r="AB40" s="338"/>
      <c r="AC40" s="338"/>
      <c r="AD40" s="338"/>
    </row>
    <row r="41" spans="1:30" ht="15" customHeight="1">
      <c r="A41" s="340" t="s">
        <v>389</v>
      </c>
      <c r="I41" s="338"/>
      <c r="J41" s="338"/>
      <c r="K41" s="338"/>
      <c r="L41" s="338"/>
      <c r="M41" s="338"/>
      <c r="N41" s="338"/>
      <c r="O41" s="338"/>
      <c r="P41" s="338"/>
      <c r="Q41" s="338"/>
      <c r="R41" s="338"/>
      <c r="S41" s="338"/>
      <c r="T41" s="338"/>
      <c r="U41" s="338"/>
      <c r="V41" s="338"/>
      <c r="W41" s="338"/>
      <c r="X41" s="338"/>
      <c r="Y41" s="338"/>
      <c r="Z41" s="338"/>
      <c r="AA41" s="338"/>
      <c r="AB41" s="338"/>
      <c r="AC41" s="338"/>
      <c r="AD41" s="338"/>
    </row>
    <row r="42" spans="1:30" ht="15" customHeight="1">
      <c r="A42" s="340"/>
      <c r="I42" s="338"/>
      <c r="J42" s="338"/>
      <c r="K42" s="338"/>
      <c r="L42" s="338"/>
      <c r="M42" s="338"/>
      <c r="N42" s="338"/>
      <c r="O42" s="338"/>
      <c r="P42" s="338"/>
      <c r="Q42" s="338"/>
      <c r="R42" s="338"/>
      <c r="S42" s="338"/>
      <c r="T42" s="338"/>
      <c r="U42" s="338"/>
      <c r="V42" s="338"/>
      <c r="W42" s="338"/>
      <c r="X42" s="338"/>
      <c r="Y42" s="338"/>
      <c r="Z42" s="338"/>
      <c r="AA42" s="338"/>
      <c r="AB42" s="338"/>
      <c r="AC42" s="338"/>
      <c r="AD42" s="338"/>
    </row>
    <row r="43" spans="1:30" ht="15" customHeight="1">
      <c r="A43" s="441" t="s">
        <v>441</v>
      </c>
      <c r="E43" s="339" t="s">
        <v>388</v>
      </c>
      <c r="I43" s="338"/>
      <c r="J43" s="338"/>
      <c r="K43" s="338"/>
      <c r="L43" s="338"/>
      <c r="M43" s="338"/>
      <c r="N43" s="338"/>
      <c r="O43" s="338"/>
      <c r="P43" s="338"/>
      <c r="Q43" s="338"/>
      <c r="R43" s="338"/>
      <c r="S43" s="338"/>
      <c r="T43" s="338"/>
      <c r="U43" s="338"/>
      <c r="V43" s="338"/>
      <c r="W43" s="338"/>
      <c r="X43" s="338"/>
      <c r="Y43" s="338"/>
      <c r="Z43" s="338"/>
      <c r="AA43" s="338"/>
      <c r="AB43" s="338"/>
      <c r="AC43" s="338"/>
      <c r="AD43" s="338"/>
    </row>
    <row r="44" spans="1:30" ht="15" customHeight="1">
      <c r="A44" s="340"/>
      <c r="E44" s="339" t="s">
        <v>387</v>
      </c>
      <c r="I44" s="338"/>
      <c r="J44" s="338"/>
      <c r="K44" s="338"/>
      <c r="L44" s="338"/>
      <c r="M44" s="338"/>
      <c r="N44" s="338"/>
      <c r="O44" s="338"/>
      <c r="P44" s="338"/>
      <c r="Q44" s="338"/>
      <c r="R44" s="338"/>
      <c r="S44" s="338"/>
      <c r="T44" s="338"/>
      <c r="U44" s="338"/>
      <c r="V44" s="338"/>
      <c r="W44" s="338"/>
      <c r="X44" s="338"/>
      <c r="Y44" s="338"/>
      <c r="Z44" s="338"/>
      <c r="AA44" s="338"/>
      <c r="AB44" s="338"/>
      <c r="AC44" s="338"/>
      <c r="AD44" s="338"/>
    </row>
    <row r="45" spans="1:30" ht="15" customHeight="1">
      <c r="A45" s="340"/>
      <c r="E45" s="339"/>
      <c r="I45" s="338"/>
      <c r="J45" s="338"/>
      <c r="K45" s="338"/>
      <c r="L45" s="338"/>
      <c r="M45" s="338"/>
      <c r="N45" s="338"/>
      <c r="O45" s="338"/>
      <c r="P45" s="338"/>
      <c r="Q45" s="338"/>
      <c r="R45" s="338"/>
      <c r="S45" s="338"/>
      <c r="T45" s="338"/>
      <c r="U45" s="338"/>
      <c r="V45" s="338"/>
      <c r="W45" s="338"/>
      <c r="X45" s="338"/>
      <c r="Y45" s="338"/>
      <c r="Z45" s="338"/>
      <c r="AA45" s="338"/>
      <c r="AB45" s="338"/>
      <c r="AC45" s="338"/>
      <c r="AD45" s="338"/>
    </row>
    <row r="47" spans="1:30" ht="13.15" customHeight="1">
      <c r="A47" s="625" t="s">
        <v>427</v>
      </c>
      <c r="B47" s="625"/>
      <c r="C47" s="625"/>
      <c r="D47" s="625"/>
      <c r="E47" s="625"/>
      <c r="F47" s="625"/>
      <c r="G47" s="625"/>
      <c r="H47" s="625"/>
    </row>
    <row r="48" spans="1:30" ht="13.15" customHeight="1">
      <c r="A48" s="625"/>
      <c r="B48" s="625"/>
      <c r="C48" s="625"/>
      <c r="D48" s="625"/>
      <c r="E48" s="625"/>
      <c r="F48" s="625"/>
      <c r="G48" s="625"/>
      <c r="H48" s="625"/>
    </row>
    <row r="49" spans="1:8" ht="13.15" customHeight="1">
      <c r="A49" s="625"/>
      <c r="B49" s="625"/>
      <c r="C49" s="625"/>
      <c r="D49" s="625"/>
      <c r="E49" s="625"/>
      <c r="F49" s="625"/>
      <c r="G49" s="625"/>
      <c r="H49" s="625"/>
    </row>
    <row r="50" spans="1:8" ht="13.15" customHeight="1">
      <c r="A50" s="625"/>
      <c r="B50" s="625"/>
      <c r="C50" s="625"/>
      <c r="D50" s="625"/>
      <c r="E50" s="625"/>
      <c r="F50" s="625"/>
      <c r="G50" s="625"/>
      <c r="H50" s="625"/>
    </row>
    <row r="51" spans="1:8" ht="13.15" customHeight="1">
      <c r="A51" s="625"/>
      <c r="B51" s="625"/>
      <c r="C51" s="625"/>
      <c r="D51" s="625"/>
      <c r="E51" s="625"/>
      <c r="F51" s="625"/>
      <c r="G51" s="625"/>
      <c r="H51" s="625"/>
    </row>
    <row r="52" spans="1:8" ht="13.15" customHeight="1">
      <c r="A52" s="625"/>
      <c r="B52" s="625"/>
      <c r="C52" s="625"/>
      <c r="D52" s="625"/>
      <c r="E52" s="625"/>
      <c r="F52" s="625"/>
      <c r="G52" s="625"/>
      <c r="H52" s="625"/>
    </row>
    <row r="53" spans="1:8" ht="13.15" customHeight="1">
      <c r="A53" s="337"/>
      <c r="B53" s="337"/>
      <c r="C53" s="337"/>
      <c r="D53" s="337"/>
      <c r="E53" s="337"/>
      <c r="F53" s="337"/>
      <c r="G53" s="337"/>
      <c r="H53" s="337"/>
    </row>
  </sheetData>
  <mergeCells count="10">
    <mergeCell ref="A28:C28"/>
    <mergeCell ref="A31:C31"/>
    <mergeCell ref="A47:H52"/>
    <mergeCell ref="A2:G2"/>
    <mergeCell ref="A1:G1"/>
    <mergeCell ref="G7:G8"/>
    <mergeCell ref="F5:G6"/>
    <mergeCell ref="A4:G4"/>
    <mergeCell ref="A23:C23"/>
    <mergeCell ref="A3:G3"/>
  </mergeCells>
  <printOptions horizontalCentered="1"/>
  <pageMargins left="0.70866141732283472" right="0.15748031496062992" top="0.51181102362204722" bottom="0.70866141732283472" header="0.11811023622047245" footer="0.19685039370078741"/>
  <pageSetup paperSize="9" scale="74"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1.- Matriz de inversión</vt:lpstr>
      <vt:lpstr>2.- Resumen por Línea </vt:lpstr>
      <vt:lpstr>3.- Cronog.Valorado y Desemb</vt:lpstr>
      <vt:lpstr>4.-Proyección de ingresos-costo</vt:lpstr>
      <vt:lpstr>5.- Matriz Análisis Financiero</vt:lpstr>
      <vt:lpstr>6.- Presupuesto Obra</vt:lpstr>
      <vt:lpstr>7. Cronograma de Obra</vt:lpstr>
      <vt:lpstr>8. APU</vt:lpstr>
      <vt:lpstr>'1.- Matriz de inversión'!Área_de_impresión</vt:lpstr>
      <vt:lpstr>'2.- Resumen por Línea '!Área_de_impresión</vt:lpstr>
      <vt:lpstr>'3.- Cronog.Valorado y Desemb'!Área_de_impresión</vt:lpstr>
      <vt:lpstr>'6.- Presupuesto Obra'!Área_de_impresión</vt:lpstr>
      <vt:lpstr>'7. Cronograma de Obra'!Área_de_impresión</vt:lpstr>
      <vt:lpstr>'8. APU'!Área_de_impresión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2026</dc:creator>
  <cp:lastModifiedBy>EFRAIN CHAFLA SAGNAY</cp:lastModifiedBy>
  <cp:lastPrinted>2025-12-22T14:48:00Z</cp:lastPrinted>
  <dcterms:created xsi:type="dcterms:W3CDTF">2023-12-21T14:00:00Z</dcterms:created>
  <dcterms:modified xsi:type="dcterms:W3CDTF">2026-03-09T18:44:49Z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CD90C1C5E63444A29AA9B3F2E6EE6888_12</vt:lpwstr>
  </property>
  <property fmtid="{D5CDD505-2E9C-101B-9397-08002B2CF9AE}" pid="3" name="KSOProductBuildVer">
    <vt:lpwstr>3082-12.2.0.17153</vt:lpwstr>
  </property>
</Properties>
</file>